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dochody" sheetId="1" r:id="rId1"/>
    <sheet name="wydatki" sheetId="2" r:id="rId2"/>
    <sheet name="Dochody SP" sheetId="3" r:id="rId3"/>
    <sheet name="Rezerwy celowe" sheetId="4" r:id="rId4"/>
    <sheet name="zadania rządowe" sheetId="5" r:id="rId5"/>
    <sheet name="porozumienia" sheetId="6" r:id="rId6"/>
    <sheet name="PFOŚiGW" sheetId="7" r:id="rId7"/>
    <sheet name="majątk." sheetId="8" r:id="rId8"/>
  </sheets>
  <definedNames>
    <definedName name="_xlnm.Print_Area" localSheetId="1">'wydatki'!$A$1:$M$291</definedName>
    <definedName name="_xlnm.Print_Titles" localSheetId="0">'dochody'!$8:$8</definedName>
    <definedName name="_xlnm.Print_Titles" localSheetId="1">'wydatki'!$8:$15</definedName>
  </definedNames>
  <calcPr fullCalcOnLoad="1"/>
</workbook>
</file>

<file path=xl/sharedStrings.xml><?xml version="1.0" encoding="utf-8"?>
<sst xmlns="http://schemas.openxmlformats.org/spreadsheetml/2006/main" count="827" uniqueCount="321">
  <si>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</si>
  <si>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</si>
  <si>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</si>
  <si>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</si>
  <si>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</si>
  <si>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</si>
  <si>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</si>
  <si>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</si>
  <si>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</si>
  <si>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</si>
  <si>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01017</t>
  </si>
  <si>
    <t>Ochrona roślin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</si>
  <si>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</si>
  <si>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</si>
  <si>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</si>
  <si>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</si>
  <si>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</si>
  <si>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</si>
  <si>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</si>
  <si>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</si>
  <si>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</si>
  <si>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</si>
  <si>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</si>
  <si>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</si>
  <si>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</si>
  <si>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</si>
  <si>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</si>
  <si>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Wpływy z tytułu pomocy finansowej udzielonej między jednostkami samorzadu terytorialnego na dofinansowanie własnych zadań inwestycyjnych i zakupw inwestycyjnych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</si>
  <si>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</si>
  <si>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</si>
  <si>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</si>
  <si>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</si>
  <si>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</si>
  <si>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</si>
  <si>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</si>
  <si>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</si>
  <si>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</si>
  <si>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</si>
  <si>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</si>
  <si>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</si>
  <si>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</si>
  <si>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</si>
  <si>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</si>
  <si>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</si>
  <si>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podatek od osob prawnych</t>
  </si>
  <si>
    <t>podatek od osób fizycznych</t>
  </si>
  <si>
    <t>wlasne</t>
  </si>
  <si>
    <t>Dotacje porozumienia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</si>
  <si>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</si>
  <si>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</si>
  <si>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</si>
  <si>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</si>
  <si>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</si>
  <si>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</si>
  <si>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</si>
  <si>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</si>
  <si>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</si>
  <si>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</si>
  <si>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</si>
  <si>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</si>
  <si>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</si>
  <si>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Wpłaty od jednostek na fundusz celowy na finansowanie lub dofinansowanie zadań inwestycyjnych</t>
  </si>
  <si>
    <t>Komendy powiatowe Państwowej Straży Pożarnej</t>
  </si>
  <si>
    <t>Wpływy z tytułu pomocy finansowej udzielonej między jednostkami samorzadu terytorialnego na dofinansowanie własnych zadań bieżących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</si>
  <si>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</si>
  <si>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</si>
  <si>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</si>
  <si>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</si>
  <si>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</si>
  <si>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</si>
  <si>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</si>
  <si>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</si>
  <si>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</si>
  <si>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</si>
  <si>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</si>
  <si>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</si>
  <si>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</si>
  <si>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</si>
  <si>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</si>
  <si>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</si>
  <si>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</si>
  <si>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</si>
  <si>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</si>
  <si>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</si>
  <si>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</si>
  <si>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</si>
  <si>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</si>
  <si>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</si>
  <si>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</si>
  <si>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</si>
  <si>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</si>
  <si>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</si>
  <si>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</si>
  <si>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</si>
  <si>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</si>
  <si>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</si>
  <si>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</si>
  <si>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</si>
  <si>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</si>
  <si>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092</t>
  </si>
  <si>
    <t>OGÓŁEM</t>
  </si>
  <si>
    <t>zwiększenia</t>
  </si>
  <si>
    <t>zmniejszenia</t>
  </si>
  <si>
    <t>Plan przed zmianami</t>
  </si>
  <si>
    <t>Plan po zmianach</t>
  </si>
  <si>
    <t>Środki otrzymane od pozostałych jednostek zaliczanych do sektora finansów publicznych na realizację zadań bieżących jednostek zaliczanych do sektora finansów publicznych</t>
  </si>
  <si>
    <t xml:space="preserve">Załącznik  nr  2   do 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</si>
  <si>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</si>
  <si>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Dz.</t>
  </si>
  <si>
    <t>Rozdz.</t>
  </si>
  <si>
    <t>Wyszczególnienie</t>
  </si>
  <si>
    <t>Wydatki ogółem</t>
  </si>
  <si>
    <t>w tym</t>
  </si>
  <si>
    <t>Z tego :</t>
  </si>
  <si>
    <t>Wydatki majątkowe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</si>
  <si>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</si>
  <si>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</si>
  <si>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zadania bieżące realizowane przez powiat na podstawie porozumień z organami administracji rządowej</t>
  </si>
  <si>
    <t>Bieżące</t>
  </si>
  <si>
    <t>w tym :</t>
  </si>
  <si>
    <t>Wynagrodzenia i pochodne od wynagrodzeń</t>
  </si>
  <si>
    <t>Pozostałe wydatki</t>
  </si>
  <si>
    <t>Dotacje</t>
  </si>
  <si>
    <t>a) plan przed zmianą</t>
  </si>
  <si>
    <t>b)  zwiększenia</t>
  </si>
  <si>
    <t>c) zmniejszenia</t>
  </si>
  <si>
    <t>d) plan po zmianach</t>
  </si>
  <si>
    <t>a.</t>
  </si>
  <si>
    <t>b.</t>
  </si>
  <si>
    <t>c.</t>
  </si>
  <si>
    <t xml:space="preserve"> </t>
  </si>
  <si>
    <t>d.</t>
  </si>
  <si>
    <t>Prace geodezyjno-urządzeniowe na potrzeby rolnictwa</t>
  </si>
  <si>
    <t>Ochrona roslin</t>
  </si>
  <si>
    <t>02002</t>
  </si>
  <si>
    <t>Nadzór nad gospodarką leśną</t>
  </si>
  <si>
    <t>600</t>
  </si>
  <si>
    <t>60014</t>
  </si>
  <si>
    <t>700</t>
  </si>
  <si>
    <t>70005</t>
  </si>
  <si>
    <t>710</t>
  </si>
  <si>
    <t>71013</t>
  </si>
  <si>
    <t>Prace geodezyjne i kartograficzne                      (nieinwestycyjne)</t>
  </si>
  <si>
    <t>71014</t>
  </si>
  <si>
    <t>71015</t>
  </si>
  <si>
    <t>750</t>
  </si>
  <si>
    <t>75011</t>
  </si>
  <si>
    <t>75019</t>
  </si>
  <si>
    <t>Rady powiatów</t>
  </si>
  <si>
    <t>75020</t>
  </si>
  <si>
    <t>75045</t>
  </si>
  <si>
    <t>754</t>
  </si>
  <si>
    <t>75411</t>
  </si>
  <si>
    <t>75404</t>
  </si>
  <si>
    <t>75495</t>
  </si>
  <si>
    <t>757</t>
  </si>
  <si>
    <t>Obsługa długu publicznego</t>
  </si>
  <si>
    <t>75702</t>
  </si>
  <si>
    <t>Obsługa papierów wartościowych,kredytów i pożyczek jednostek samorządu terytorialnego</t>
  </si>
  <si>
    <t>758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</si>
  <si>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</si>
  <si>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</si>
  <si>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</si>
  <si>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</si>
  <si>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</si>
  <si>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</si>
  <si>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</si>
  <si>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</si>
  <si>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</si>
  <si>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</si>
  <si>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Szkoly zawodowe specjalne</t>
  </si>
  <si>
    <t>80146</t>
  </si>
  <si>
    <t>Dokształcanie i doskonalenie nauczycieli</t>
  </si>
  <si>
    <t>80195</t>
  </si>
  <si>
    <t>851</t>
  </si>
  <si>
    <t>85111</t>
  </si>
  <si>
    <t>Szpitale ogólne</t>
  </si>
  <si>
    <t>85156</t>
  </si>
  <si>
    <t>85141</t>
  </si>
  <si>
    <t>Ratownictwo medyczne</t>
  </si>
  <si>
    <t>85153</t>
  </si>
  <si>
    <t>Zwalczanie narkomanii</t>
  </si>
  <si>
    <t>852</t>
  </si>
  <si>
    <t>85201</t>
  </si>
  <si>
    <t>85204</t>
  </si>
  <si>
    <t>85212</t>
  </si>
  <si>
    <t>Świadczenia rodzinne oraz składki na ubezpieczenia emerytalne i rentowe z ubezpieczenia społecznego</t>
  </si>
  <si>
    <t>85218</t>
  </si>
  <si>
    <t>Powiatowe centra pomocy rodzinie</t>
  </si>
  <si>
    <t>85226</t>
  </si>
  <si>
    <t>Ośrodki adopcyjno-opiekuńcze</t>
  </si>
  <si>
    <t>85233</t>
  </si>
  <si>
    <t>85295</t>
  </si>
  <si>
    <t>853</t>
  </si>
  <si>
    <t>Pozostałe zadania                                   w zakresie polityki społecznej</t>
  </si>
  <si>
    <t>85311</t>
  </si>
  <si>
    <t>Rehabilitacja zawodowa i społeczna osób niepełnosprawnych</t>
  </si>
  <si>
    <t>85321</t>
  </si>
  <si>
    <t>Zespoły do spraw orzekania o  stopniu niepełnosprawności</t>
  </si>
  <si>
    <t>85333</t>
  </si>
  <si>
    <t>85395</t>
  </si>
  <si>
    <t>854</t>
  </si>
  <si>
    <t>85403</t>
  </si>
  <si>
    <t>85406</t>
  </si>
  <si>
    <t>Poradnie psychologiczno-pedagogiczne, w tym poradnie specjalistyczne</t>
  </si>
  <si>
    <t>85407</t>
  </si>
  <si>
    <t>85410</t>
  </si>
  <si>
    <t>85412</t>
  </si>
  <si>
    <t>Kolonie i obozy oraz inne formy wypoczynku dzieci i młodzieży szkolnej</t>
  </si>
  <si>
    <t>85415</t>
  </si>
  <si>
    <t>Pomoc materialna dla uczniów</t>
  </si>
  <si>
    <t>85417</t>
  </si>
  <si>
    <t>Szkolne schroniska młodzieżowe</t>
  </si>
  <si>
    <t>85446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</si>
  <si>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</si>
  <si>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</si>
  <si>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</si>
  <si>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</si>
  <si>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</si>
  <si>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</si>
  <si>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</si>
  <si>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</si>
  <si>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</si>
  <si>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Powiatowe centrum pomocy rodzinie</t>
  </si>
  <si>
    <t>Środki na dofinansowanie własnych zadań bieżących powiatów pozyskane z innych źródeł</t>
  </si>
  <si>
    <t>Wpływy z tytułu pomocy finansowej udzielanej między jednostkami samorządu terytorialnego na dofinansowanie własnych zadań bieżących</t>
  </si>
  <si>
    <t>0910</t>
  </si>
  <si>
    <t>Odsetki od nieterminowych wpłat z tytułu podatków i opłat</t>
  </si>
  <si>
    <t>do Uchwały Nr ……………</t>
  </si>
  <si>
    <t>Rady  Powiatu Złotowskiego</t>
  </si>
  <si>
    <t>z dnia …………………...</t>
  </si>
  <si>
    <t>Gospodarstwa pomocnicze</t>
  </si>
  <si>
    <t>Wpływy do budżetu części zysku gospodarstwa pomocniczego</t>
  </si>
  <si>
    <t>Lp.</t>
  </si>
  <si>
    <t>wyszczególnienie</t>
  </si>
  <si>
    <t xml:space="preserve">Plan </t>
  </si>
  <si>
    <t>zwiększ.</t>
  </si>
  <si>
    <t>zmn.</t>
  </si>
  <si>
    <t>Plan po zm.</t>
  </si>
  <si>
    <t>I.</t>
  </si>
  <si>
    <t>Stan środków na początek roku:</t>
  </si>
  <si>
    <t>II.</t>
  </si>
  <si>
    <t>Przychody</t>
  </si>
  <si>
    <t>III.</t>
  </si>
  <si>
    <t>Wydatki</t>
  </si>
  <si>
    <t>Wydatki bieżące</t>
  </si>
  <si>
    <t>§ 4300 - Zakup usług pozostałych</t>
  </si>
  <si>
    <t>§ 6120 - wydatki na zakupy inwestycyjne funduszy celowych</t>
  </si>
  <si>
    <t>IV.</t>
  </si>
  <si>
    <t>Stan środków na koniec roku</t>
  </si>
  <si>
    <t>Plan przychodów i wydatków Powiatowego Funduszu Ochrony Środowiska i Gospodarki Wodnej na 2007 roku</t>
  </si>
  <si>
    <r>
      <t>§</t>
    </r>
    <r>
      <rPr>
        <sz val="10"/>
        <rFont val="Arial CE"/>
        <family val="0"/>
      </rPr>
      <t xml:space="preserve"> 0690 Wpływy z różnych opłat</t>
    </r>
  </si>
  <si>
    <t>Dział 900 Gospodarka komunalna i ochrona środowiska</t>
  </si>
  <si>
    <t>Rozdział 90011 Fundusz Ochrony Środowiska i Gospodarki Wodnej</t>
  </si>
  <si>
    <t>§ 2440 - Dotacje przekazane z funduszy celowych na realizację zadań bieżących dla jednostek sektora finansów publicznych</t>
  </si>
  <si>
    <t>§ 2450 - Dotacje przekazane z funduszy celowych na realizację zadań bieżących dla jednostek niezaliczanyc do sektora finansów publicznych</t>
  </si>
  <si>
    <t>§ 6260 - Dotacje z funduszy celowych na finansowanie lub dofinansowanie kosztów realizacji inwestycji i zakupów inwestycyjnych jednostek sektora finansów publicznych</t>
  </si>
  <si>
    <r>
      <t>§</t>
    </r>
    <r>
      <rPr>
        <sz val="10"/>
        <rFont val="Arial CE"/>
        <family val="0"/>
      </rPr>
      <t xml:space="preserve"> 0970 Wpływy z różnych dochodów </t>
    </r>
  </si>
  <si>
    <t>Ogółem</t>
  </si>
  <si>
    <t>Dochody Budżetu Państwa na 2007 rok związane z realizacją zadań z zakresu administracji rządowej.</t>
  </si>
  <si>
    <t>01008</t>
  </si>
  <si>
    <t>Melioracje wodne</t>
  </si>
  <si>
    <t>Wpływy z opłat za zarząd, użytkowanie i użytkowanie wieczyste nieruchoności</t>
  </si>
  <si>
    <t>Komendy powiatowe PSP</t>
  </si>
  <si>
    <t>Wpływy z różnych oplat</t>
  </si>
  <si>
    <t>Zwiększ.</t>
  </si>
  <si>
    <t>Zmniej.</t>
  </si>
  <si>
    <t>Plan</t>
  </si>
  <si>
    <t xml:space="preserve">Załącznik  nr  3   do </t>
  </si>
  <si>
    <t>Dochody i wydatki w 2007 r., związane z realizacją zadań bieżących realizowanych  na podstawie:</t>
  </si>
  <si>
    <t>1. porozumień z innymi jednostkami samorządu terytorialnego.</t>
  </si>
  <si>
    <t>Klasyfikacja</t>
  </si>
  <si>
    <t>Nazwa zadania</t>
  </si>
  <si>
    <t>Dochody</t>
  </si>
  <si>
    <t>dofinansowanie na modernizację ul.Norwada w Złotowie</t>
  </si>
  <si>
    <t>dofinansowanie do zakupu sprzętu i wyposażenia dla Komendy powiatowej Policji w Złotowie</t>
  </si>
  <si>
    <t>dofinansowanie dla Komendy powiatowej Państwowej Staży Pożarnej</t>
  </si>
  <si>
    <t>dofinansowanie kosztów utrzymania dzieci w placówkach opiekuńczo-wychowawczych</t>
  </si>
  <si>
    <t>dofinansowaniedla rodzin zastępczych prowadzonych przez powiaty</t>
  </si>
  <si>
    <t>dofinansowanie indywidualnego nauczania dzieci niesłyszacych,słabo słyszacych i dzieci z autyzmem</t>
  </si>
  <si>
    <t>prowadzenie szkolnego schroniska młodzieżowego</t>
  </si>
  <si>
    <t>prowadzenie zadań biblioteki powiatowej</t>
  </si>
  <si>
    <t>Razem:</t>
  </si>
  <si>
    <t>Wykaz rezerw celowych</t>
  </si>
  <si>
    <t>Przeznaczenie</t>
  </si>
  <si>
    <t>Na nagrody starosty dla dyrektorów placówek oświatowych i wytypowanych nauczycieli</t>
  </si>
  <si>
    <t>Na zmiany stanu organizacyjnego szkół oraz tworzenie nowych oddziałów w szkołach ponadgimnazjalnych</t>
  </si>
  <si>
    <t>Na stypendia dla mlodzieży w szkołach ponadgimnazjalnch "Matura 2007"</t>
  </si>
  <si>
    <t>Na remonty i modernizacje w jednostkach oświatowych</t>
  </si>
  <si>
    <t>Zabezpieczenie udzielonego poręczenia splaty kredytu zaciągniętego przez Szpital Powiatowy w Złotowie</t>
  </si>
  <si>
    <t>Dofinansowanie Warsztatu Terapii Zajęciowej w Okonku ze środków uzyskanych z Miasta i Gminy Okonek</t>
  </si>
  <si>
    <t>Załącznik nr 4</t>
  </si>
  <si>
    <t>I. Dochody i wydatki związane z realizacją zadań z zakresu administracji rządowej zleconych powiatowi i innych zadań zleconych ustawami w 2007 r.</t>
  </si>
  <si>
    <t>2110</t>
  </si>
  <si>
    <t>Dotacje celowe przekazane z budżetu państwa na zadania bieżące z zakresu administracji rządowej oraz inne zadania zlecone ustawami realizowane przez powiat</t>
  </si>
  <si>
    <t>2120</t>
  </si>
  <si>
    <t>III. Dochody budżetu państwa związane z realizacją zadań zleconych jednostkom samorządu terytorialnego w 2007 r.</t>
  </si>
  <si>
    <t>Załącznik nr 5</t>
  </si>
  <si>
    <t xml:space="preserve">Załącznik  nr 6 do </t>
  </si>
  <si>
    <t>Załącznik nr 7</t>
  </si>
  <si>
    <t>Zmniejsz.</t>
  </si>
  <si>
    <t>II. Dochody i wydatki związane z realizacją zadań w drodze porozumień z organami administracji rządowej w 2007 r.</t>
  </si>
  <si>
    <t>Wykaz wydatków majątkowych</t>
  </si>
  <si>
    <t>dział</t>
  </si>
  <si>
    <t>rozdział</t>
  </si>
  <si>
    <t>nazwa zadania</t>
  </si>
  <si>
    <t>Plan po zmianie</t>
  </si>
  <si>
    <t>Przebudowa drogi Lędyczek - Okonek</t>
  </si>
  <si>
    <t>Modernizacja ulicy Norwiada w Złotowie</t>
  </si>
  <si>
    <t>Przebudowa drogi Glinki Mokre</t>
  </si>
  <si>
    <t>Dokończenie ulicy Norwida w Złotowie</t>
  </si>
  <si>
    <t>Wykonanie dokumentacji technicznej na roboty inwestycyjne drogowe</t>
  </si>
  <si>
    <t>Utwardzenie drogi Batorówko-Białobłocie</t>
  </si>
  <si>
    <t>Zakup zestawów komputerowych dla Starostwa Powiatowego w Złotowie</t>
  </si>
  <si>
    <t>Zakup samochodu służbowego dla Starostwa Powiatowego</t>
  </si>
  <si>
    <t>Ocieplenie ścian i dachu obiektu,wymiana okien,drzwi oraz bram garażowych "Termomodernizacja budynku administracyjnego Komendy Powiatowej Straży Pożarnej w Złotowie</t>
  </si>
  <si>
    <t xml:space="preserve">Załącznik nr 8   </t>
  </si>
  <si>
    <t>Zakup samochodu służbowego dla Powiatowego Inspektora Nadzoru Budowlanego</t>
  </si>
  <si>
    <t>do Uchwały Nr VII/33/2007</t>
  </si>
  <si>
    <t>z dnia 28 marca 2007 roku</t>
  </si>
  <si>
    <t xml:space="preserve">Załącznik  nr  1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</si>
</sst>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3" xfId="0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49" fontId="5" fillId="4" borderId="8" xfId="0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49" fontId="5" fillId="4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3" fillId="4" borderId="7" xfId="0" applyNumberFormat="1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49" fontId="5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9" fontId="3" fillId="5" borderId="7" xfId="0" applyNumberFormat="1" applyFont="1" applyFill="1" applyBorder="1" applyAlignment="1">
      <alignment horizontal="right"/>
    </xf>
    <xf numFmtId="49" fontId="5" fillId="5" borderId="7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49" fontId="5" fillId="5" borderId="8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 quotePrefix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11" xfId="0" applyFont="1" applyFill="1" applyBorder="1" applyAlignment="1" quotePrefix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top"/>
    </xf>
    <xf numFmtId="0" fontId="0" fillId="7" borderId="15" xfId="0" applyFill="1" applyBorder="1" applyAlignment="1" quotePrefix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5" xfId="0" applyFill="1" applyBorder="1" applyAlignment="1">
      <alignment wrapText="1"/>
    </xf>
    <xf numFmtId="3" fontId="0" fillId="7" borderId="15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6" borderId="15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wrapText="1"/>
    </xf>
    <xf numFmtId="3" fontId="3" fillId="6" borderId="15" xfId="0" applyNumberFormat="1" applyFont="1" applyFill="1" applyBorder="1" applyAlignment="1">
      <alignment/>
    </xf>
    <xf numFmtId="0" fontId="3" fillId="6" borderId="14" xfId="0" applyFont="1" applyFill="1" applyBorder="1" applyAlignment="1">
      <alignment horizontal="center" vertical="top"/>
    </xf>
    <xf numFmtId="3" fontId="0" fillId="6" borderId="15" xfId="0" applyNumberFormat="1" applyFill="1" applyBorder="1" applyAlignment="1">
      <alignment/>
    </xf>
    <xf numFmtId="0" fontId="0" fillId="7" borderId="15" xfId="0" applyFill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 wrapText="1"/>
    </xf>
    <xf numFmtId="3" fontId="0" fillId="7" borderId="15" xfId="0" applyNumberFormat="1" applyFill="1" applyBorder="1" applyAlignment="1">
      <alignment horizontal="center" vertical="center"/>
    </xf>
    <xf numFmtId="0" fontId="0" fillId="7" borderId="16" xfId="0" applyFill="1" applyBorder="1" applyAlignment="1" quotePrefix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 quotePrefix="1">
      <alignment horizontal="center" vertical="top"/>
    </xf>
    <xf numFmtId="3" fontId="0" fillId="0" borderId="15" xfId="0" applyNumberFormat="1" applyFill="1" applyBorder="1" applyAlignment="1">
      <alignment/>
    </xf>
    <xf numFmtId="0" fontId="0" fillId="7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 quotePrefix="1">
      <alignment horizontal="center" vertical="top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6" borderId="22" xfId="0" applyFont="1" applyFill="1" applyBorder="1" applyAlignment="1" quotePrefix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wrapText="1"/>
    </xf>
    <xf numFmtId="3" fontId="3" fillId="6" borderId="23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0" fillId="0" borderId="20" xfId="0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3" fontId="0" fillId="6" borderId="23" xfId="0" applyNumberForma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6" borderId="24" xfId="0" applyFont="1" applyFill="1" applyBorder="1" applyAlignment="1" quotePrefix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 quotePrefix="1">
      <alignment horizontal="center" vertical="top"/>
    </xf>
    <xf numFmtId="0" fontId="0" fillId="0" borderId="23" xfId="0" applyFill="1" applyBorder="1" applyAlignment="1">
      <alignment wrapText="1"/>
    </xf>
    <xf numFmtId="3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 quotePrefix="1">
      <alignment horizontal="center" vertical="top"/>
    </xf>
    <xf numFmtId="0" fontId="0" fillId="0" borderId="27" xfId="0" applyBorder="1" applyAlignment="1">
      <alignment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3" fillId="6" borderId="12" xfId="0" applyNumberFormat="1" applyFont="1" applyFill="1" applyBorder="1" applyAlignment="1">
      <alignment/>
    </xf>
    <xf numFmtId="3" fontId="14" fillId="6" borderId="30" xfId="0" applyNumberFormat="1" applyFont="1" applyFill="1" applyBorder="1" applyAlignment="1">
      <alignment/>
    </xf>
    <xf numFmtId="3" fontId="14" fillId="6" borderId="25" xfId="0" applyNumberFormat="1" applyFont="1" applyFill="1" applyBorder="1" applyAlignment="1">
      <alignment/>
    </xf>
    <xf numFmtId="3" fontId="14" fillId="6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3" fontId="3" fillId="7" borderId="31" xfId="0" applyNumberFormat="1" applyFont="1" applyFill="1" applyBorder="1" applyAlignment="1">
      <alignment horizontal="right" vertical="center"/>
    </xf>
    <xf numFmtId="0" fontId="14" fillId="7" borderId="0" xfId="0" applyFont="1" applyFill="1" applyAlignment="1">
      <alignment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4" borderId="3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7" fillId="4" borderId="3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3" fontId="1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5" fillId="8" borderId="7" xfId="0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3" fillId="8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0" fontId="3" fillId="0" borderId="33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8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6" xfId="0" applyBorder="1" applyAlignment="1" quotePrefix="1">
      <alignment horizontal="center" vertical="top"/>
    </xf>
    <xf numFmtId="0" fontId="3" fillId="7" borderId="1" xfId="0" applyFont="1" applyFill="1" applyBorder="1" applyAlignment="1" quotePrefix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wrapText="1"/>
    </xf>
    <xf numFmtId="3" fontId="3" fillId="7" borderId="1" xfId="0" applyNumberFormat="1" applyFont="1" applyFill="1" applyBorder="1" applyAlignment="1">
      <alignment/>
    </xf>
    <xf numFmtId="0" fontId="3" fillId="7" borderId="8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/>
    </xf>
    <xf numFmtId="0" fontId="0" fillId="7" borderId="15" xfId="0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5" xfId="0" applyNumberFormat="1" applyFont="1" applyBorder="1" applyAlignment="1">
      <alignment wrapText="1"/>
    </xf>
    <xf numFmtId="3" fontId="15" fillId="0" borderId="1" xfId="0" applyNumberFormat="1" applyFont="1" applyBorder="1" applyAlignment="1">
      <alignment/>
    </xf>
    <xf numFmtId="0" fontId="15" fillId="0" borderId="1" xfId="0" applyNumberFormat="1" applyFont="1" applyBorder="1" applyAlignment="1">
      <alignment wrapText="1"/>
    </xf>
    <xf numFmtId="0" fontId="15" fillId="0" borderId="1" xfId="0" applyNumberFormat="1" applyFont="1" applyBorder="1" applyAlignment="1">
      <alignment horizontal="left" wrapText="1"/>
    </xf>
    <xf numFmtId="0" fontId="20" fillId="7" borderId="1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0" fillId="7" borderId="1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wrapText="1"/>
    </xf>
    <xf numFmtId="0" fontId="20" fillId="6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0" fillId="9" borderId="1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/>
    </xf>
    <xf numFmtId="3" fontId="20" fillId="9" borderId="1" xfId="0" applyNumberFormat="1" applyFont="1" applyFill="1" applyBorder="1" applyAlignment="1">
      <alignment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wrapText="1"/>
    </xf>
    <xf numFmtId="0" fontId="3" fillId="6" borderId="11" xfId="0" applyFont="1" applyFill="1" applyBorder="1" applyAlignment="1">
      <alignment horizontal="center" vertical="top"/>
    </xf>
    <xf numFmtId="3" fontId="0" fillId="6" borderId="12" xfId="0" applyNumberForma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 wrapText="1"/>
    </xf>
    <xf numFmtId="3" fontId="3" fillId="9" borderId="36" xfId="0" applyNumberFormat="1" applyFont="1" applyFill="1" applyBorder="1" applyAlignment="1">
      <alignment horizontal="right" vertical="center"/>
    </xf>
    <xf numFmtId="3" fontId="3" fillId="9" borderId="36" xfId="0" applyNumberFormat="1" applyFont="1" applyFill="1" applyBorder="1" applyAlignment="1">
      <alignment horizontal="right" vertical="center"/>
    </xf>
    <xf numFmtId="49" fontId="5" fillId="4" borderId="2" xfId="0" applyNumberFormat="1" applyFont="1" applyFill="1" applyBorder="1" applyAlignment="1">
      <alignment horizontal="right" wrapText="1"/>
    </xf>
    <xf numFmtId="49" fontId="5" fillId="5" borderId="7" xfId="0" applyNumberFormat="1" applyFont="1" applyFill="1" applyBorder="1" applyAlignment="1">
      <alignment horizontal="right" wrapText="1"/>
    </xf>
    <xf numFmtId="49" fontId="3" fillId="4" borderId="6" xfId="0" applyNumberFormat="1" applyFont="1" applyFill="1" applyBorder="1" applyAlignment="1">
      <alignment horizontal="right" vertical="center"/>
    </xf>
    <xf numFmtId="49" fontId="5" fillId="4" borderId="7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Fill="1" applyAlignment="1">
      <alignment horizontal="left"/>
    </xf>
    <xf numFmtId="49" fontId="3" fillId="4" borderId="9" xfId="0" applyNumberFormat="1" applyFont="1" applyFill="1" applyBorder="1" applyAlignment="1">
      <alignment horizontal="right" vertical="center"/>
    </xf>
    <xf numFmtId="49" fontId="3" fillId="4" borderId="32" xfId="0" applyNumberFormat="1" applyFont="1" applyFill="1" applyBorder="1" applyAlignment="1">
      <alignment horizontal="right" vertical="center"/>
    </xf>
    <xf numFmtId="49" fontId="3" fillId="4" borderId="31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49" fontId="3" fillId="4" borderId="37" xfId="0" applyNumberFormat="1" applyFont="1" applyFill="1" applyBorder="1" applyAlignment="1">
      <alignment horizontal="right" vertical="center"/>
    </xf>
    <xf numFmtId="49" fontId="3" fillId="4" borderId="34" xfId="0" applyNumberFormat="1" applyFont="1" applyFill="1" applyBorder="1" applyAlignment="1">
      <alignment horizontal="right" vertical="center"/>
    </xf>
    <xf numFmtId="49" fontId="3" fillId="4" borderId="33" xfId="0" applyNumberFormat="1" applyFont="1" applyFill="1" applyBorder="1" applyAlignment="1">
      <alignment horizontal="right" vertical="center"/>
    </xf>
    <xf numFmtId="49" fontId="5" fillId="5" borderId="2" xfId="0" applyNumberFormat="1" applyFont="1" applyFill="1" applyBorder="1" applyAlignment="1">
      <alignment horizontal="right" wrapText="1"/>
    </xf>
    <xf numFmtId="49" fontId="3" fillId="4" borderId="7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right" wrapText="1"/>
    </xf>
    <xf numFmtId="49" fontId="5" fillId="2" borderId="7" xfId="0" applyNumberFormat="1" applyFont="1" applyFill="1" applyBorder="1" applyAlignment="1">
      <alignment horizontal="right" wrapText="1"/>
    </xf>
    <xf numFmtId="49" fontId="5" fillId="2" borderId="2" xfId="0" applyNumberFormat="1" applyFont="1" applyFill="1" applyBorder="1" applyAlignment="1">
      <alignment horizontal="right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4" borderId="7" xfId="0" applyNumberFormat="1" applyFont="1" applyFill="1" applyBorder="1" applyAlignment="1">
      <alignment horizontal="right" vertical="top" wrapText="1"/>
    </xf>
    <xf numFmtId="49" fontId="5" fillId="4" borderId="2" xfId="0" applyNumberFormat="1" applyFont="1" applyFill="1" applyBorder="1" applyAlignment="1">
      <alignment horizontal="right" vertical="top" wrapText="1"/>
    </xf>
    <xf numFmtId="49" fontId="5" fillId="4" borderId="8" xfId="0" applyNumberFormat="1" applyFont="1" applyFill="1" applyBorder="1" applyAlignment="1">
      <alignment horizontal="right" vertical="top" wrapText="1"/>
    </xf>
    <xf numFmtId="49" fontId="5" fillId="2" borderId="7" xfId="0" applyNumberFormat="1" applyFont="1" applyFill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49" fontId="5" fillId="2" borderId="8" xfId="0" applyNumberFormat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right" wrapText="1"/>
    </xf>
    <xf numFmtId="0" fontId="3" fillId="7" borderId="4" xfId="0" applyFont="1" applyFill="1" applyBorder="1" applyAlignment="1">
      <alignment horizontal="right" wrapText="1"/>
    </xf>
    <xf numFmtId="0" fontId="3" fillId="7" borderId="5" xfId="0" applyFont="1" applyFill="1" applyBorder="1" applyAlignment="1">
      <alignment horizontal="right" wrapText="1"/>
    </xf>
    <xf numFmtId="0" fontId="3" fillId="0" borderId="3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15" fillId="0" borderId="3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0" fillId="9" borderId="3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49" fontId="20" fillId="9" borderId="3" xfId="0" applyNumberFormat="1" applyFont="1" applyFill="1" applyBorder="1" applyAlignment="1">
      <alignment horizontal="center"/>
    </xf>
    <xf numFmtId="49" fontId="20" fillId="9" borderId="4" xfId="0" applyNumberFormat="1" applyFont="1" applyFill="1" applyBorder="1" applyAlignment="1">
      <alignment horizontal="center"/>
    </xf>
    <xf numFmtId="49" fontId="20" fillId="9" borderId="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0" fillId="7" borderId="3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5" xfId="0" applyFont="1" applyFill="1" applyBorder="1" applyAlignment="1">
      <alignment horizontal="right" vertical="center"/>
    </xf>
    <xf numFmtId="0" fontId="15" fillId="0" borderId="33" xfId="0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3" fillId="9" borderId="38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workbookViewId="0" topLeftCell="A1">
      <selection activeCell="G3" sqref="G3:I3"/>
    </sheetView>
  </sheetViews>
  <sheetFormatPr defaultColWidth="9.140625" defaultRowHeight="12.75"/>
  <cols>
    <col min="1" max="1" width="7.421875" style="1" customWidth="1"/>
    <col min="2" max="2" width="9.140625" style="2" customWidth="1"/>
    <col min="3" max="3" width="6.7109375" style="2" customWidth="1"/>
    <col min="4" max="4" width="39.28125" style="4" customWidth="1"/>
    <col min="5" max="8" width="13.8515625" style="6" customWidth="1"/>
    <col min="9" max="10" width="0" style="0" hidden="1" customWidth="1"/>
    <col min="11" max="11" width="10.140625" style="0" hidden="1" customWidth="1"/>
    <col min="12" max="12" width="13.421875" style="0" hidden="1" customWidth="1"/>
    <col min="13" max="13" width="12.7109375" style="0" hidden="1" customWidth="1"/>
    <col min="14" max="14" width="13.8515625" style="0" hidden="1" customWidth="1"/>
    <col min="15" max="15" width="10.140625" style="0" hidden="1" customWidth="1"/>
    <col min="16" max="16" width="11.8515625" style="0" hidden="1" customWidth="1"/>
    <col min="17" max="17" width="0" style="0" hidden="1" customWidth="1"/>
    <col min="18" max="18" width="13.140625" style="0" hidden="1" customWidth="1"/>
  </cols>
  <sheetData>
    <row r="1" spans="4:7" ht="12.75">
      <c r="D1" s="3"/>
      <c r="E1" s="316"/>
      <c r="F1" s="316"/>
      <c r="G1" s="37" t="s">
        <v>320</v>
      </c>
    </row>
    <row r="2" spans="4:9" ht="12.75">
      <c r="D2" s="3"/>
      <c r="E2" s="316"/>
      <c r="F2" s="316"/>
      <c r="G2" s="320"/>
      <c r="H2" s="320"/>
      <c r="I2" s="320"/>
    </row>
    <row r="3" spans="4:9" ht="12.75" customHeight="1">
      <c r="D3" s="317"/>
      <c r="E3" s="317"/>
      <c r="F3" s="317"/>
      <c r="G3" s="320"/>
      <c r="H3" s="320"/>
      <c r="I3" s="320"/>
    </row>
    <row r="4" spans="5:9" ht="12.75">
      <c r="E4" s="318"/>
      <c r="F4" s="318"/>
      <c r="G4" s="320"/>
      <c r="H4" s="320"/>
      <c r="I4" s="320"/>
    </row>
    <row r="5" spans="5:6" ht="12.75">
      <c r="E5" s="5"/>
      <c r="F5" s="5"/>
    </row>
    <row r="6" spans="1:8" ht="15.75">
      <c r="A6" s="319" t="s">
        <v>0</v>
      </c>
      <c r="B6" s="319"/>
      <c r="C6" s="319"/>
      <c r="D6" s="319"/>
      <c r="E6" s="319"/>
      <c r="F6" s="319"/>
      <c r="G6" s="319"/>
      <c r="H6" s="319"/>
    </row>
    <row r="7" spans="1:4" ht="12.75" customHeight="1">
      <c r="A7" s="107"/>
      <c r="C7" s="315"/>
      <c r="D7" s="315"/>
    </row>
    <row r="8" spans="1:8" s="120" customFormat="1" ht="22.5">
      <c r="A8" s="114" t="s">
        <v>1</v>
      </c>
      <c r="B8" s="115" t="s">
        <v>2</v>
      </c>
      <c r="C8" s="116" t="s">
        <v>3</v>
      </c>
      <c r="D8" s="115" t="s">
        <v>4</v>
      </c>
      <c r="E8" s="117" t="s">
        <v>103</v>
      </c>
      <c r="F8" s="118" t="s">
        <v>101</v>
      </c>
      <c r="G8" s="118" t="s">
        <v>102</v>
      </c>
      <c r="H8" s="119" t="s">
        <v>104</v>
      </c>
    </row>
    <row r="9" spans="1:8" ht="12.75">
      <c r="A9" s="121" t="s">
        <v>5</v>
      </c>
      <c r="B9" s="122"/>
      <c r="C9" s="123"/>
      <c r="D9" s="124" t="s">
        <v>6</v>
      </c>
      <c r="E9" s="188">
        <f>E10+E12</f>
        <v>29000</v>
      </c>
      <c r="F9" s="188"/>
      <c r="G9" s="188">
        <f>G10+G12</f>
        <v>6000</v>
      </c>
      <c r="H9" s="189">
        <f>E9+F9-G9</f>
        <v>23000</v>
      </c>
    </row>
    <row r="10" spans="1:8" ht="25.5">
      <c r="A10" s="125"/>
      <c r="B10" s="126" t="s">
        <v>7</v>
      </c>
      <c r="C10" s="127"/>
      <c r="D10" s="128" t="s">
        <v>8</v>
      </c>
      <c r="E10" s="129">
        <f>SUM(E11)</f>
        <v>23000</v>
      </c>
      <c r="F10" s="129"/>
      <c r="G10" s="129"/>
      <c r="H10" s="130">
        <f aca="true" t="shared" si="0" ref="H10:H73">E10+F10-G10</f>
        <v>23000</v>
      </c>
    </row>
    <row r="11" spans="1:8" ht="51">
      <c r="A11" s="125"/>
      <c r="B11" s="131"/>
      <c r="C11" s="132">
        <v>2110</v>
      </c>
      <c r="D11" s="133" t="s">
        <v>9</v>
      </c>
      <c r="E11" s="134">
        <v>23000</v>
      </c>
      <c r="F11" s="134"/>
      <c r="G11" s="134"/>
      <c r="H11" s="135">
        <f t="shared" si="0"/>
        <v>23000</v>
      </c>
    </row>
    <row r="12" spans="1:8" ht="12.75">
      <c r="A12" s="125"/>
      <c r="B12" s="126" t="s">
        <v>10</v>
      </c>
      <c r="C12" s="127"/>
      <c r="D12" s="128" t="s">
        <v>11</v>
      </c>
      <c r="E12" s="129">
        <f>SUM(E13:E13)</f>
        <v>6000</v>
      </c>
      <c r="F12" s="129"/>
      <c r="G12" s="129">
        <f>SUM(G13:G13)</f>
        <v>6000</v>
      </c>
      <c r="H12" s="130">
        <f t="shared" si="0"/>
        <v>0</v>
      </c>
    </row>
    <row r="13" spans="1:8" ht="51">
      <c r="A13" s="156"/>
      <c r="B13" s="157"/>
      <c r="C13" s="168">
        <v>2120</v>
      </c>
      <c r="D13" s="159" t="s">
        <v>12</v>
      </c>
      <c r="E13" s="160">
        <v>6000</v>
      </c>
      <c r="F13" s="160"/>
      <c r="G13" s="160">
        <v>6000</v>
      </c>
      <c r="H13" s="161">
        <f t="shared" si="0"/>
        <v>0</v>
      </c>
    </row>
    <row r="14" spans="1:8" ht="12.75">
      <c r="A14" s="162" t="s">
        <v>13</v>
      </c>
      <c r="B14" s="163"/>
      <c r="C14" s="164"/>
      <c r="D14" s="165" t="s">
        <v>14</v>
      </c>
      <c r="E14" s="166">
        <f>E15</f>
        <v>245674</v>
      </c>
      <c r="F14" s="188"/>
      <c r="G14" s="166"/>
      <c r="H14" s="167">
        <f>H15</f>
        <v>245674</v>
      </c>
    </row>
    <row r="15" spans="1:8" ht="12.75">
      <c r="A15" s="125"/>
      <c r="B15" s="126" t="s">
        <v>15</v>
      </c>
      <c r="C15" s="127"/>
      <c r="D15" s="128" t="s">
        <v>16</v>
      </c>
      <c r="E15" s="129">
        <f>E16</f>
        <v>245674</v>
      </c>
      <c r="F15" s="129"/>
      <c r="G15" s="129"/>
      <c r="H15" s="130">
        <f t="shared" si="0"/>
        <v>245674</v>
      </c>
    </row>
    <row r="16" spans="1:8" ht="51">
      <c r="A16" s="156"/>
      <c r="B16" s="157"/>
      <c r="C16" s="168">
        <v>2460</v>
      </c>
      <c r="D16" s="159" t="s">
        <v>105</v>
      </c>
      <c r="E16" s="160">
        <v>245674</v>
      </c>
      <c r="F16" s="160"/>
      <c r="G16" s="160"/>
      <c r="H16" s="161">
        <f t="shared" si="0"/>
        <v>245674</v>
      </c>
    </row>
    <row r="17" spans="1:8" ht="12.75" customHeight="1">
      <c r="A17" s="169">
        <v>600</v>
      </c>
      <c r="B17" s="163"/>
      <c r="C17" s="164"/>
      <c r="D17" s="165" t="s">
        <v>17</v>
      </c>
      <c r="E17" s="166">
        <f>SUM(E18)</f>
        <v>212100</v>
      </c>
      <c r="F17" s="170"/>
      <c r="G17" s="170"/>
      <c r="H17" s="190">
        <f t="shared" si="0"/>
        <v>212100</v>
      </c>
    </row>
    <row r="18" spans="1:8" ht="12.75">
      <c r="A18" s="125"/>
      <c r="B18" s="142">
        <v>60014</v>
      </c>
      <c r="C18" s="127"/>
      <c r="D18" s="128" t="s">
        <v>18</v>
      </c>
      <c r="E18" s="129">
        <f>SUM(E19:E23)</f>
        <v>212100</v>
      </c>
      <c r="F18" s="129"/>
      <c r="G18" s="129"/>
      <c r="H18" s="130">
        <f t="shared" si="0"/>
        <v>212100</v>
      </c>
    </row>
    <row r="19" spans="1:8" ht="16.5" customHeight="1">
      <c r="A19" s="125"/>
      <c r="B19" s="131"/>
      <c r="C19" s="143" t="s">
        <v>19</v>
      </c>
      <c r="D19" s="133" t="s">
        <v>20</v>
      </c>
      <c r="E19" s="134">
        <v>3000</v>
      </c>
      <c r="F19" s="134"/>
      <c r="G19" s="134"/>
      <c r="H19" s="135">
        <f t="shared" si="0"/>
        <v>3000</v>
      </c>
    </row>
    <row r="20" spans="1:8" ht="12.75">
      <c r="A20" s="125"/>
      <c r="B20" s="131"/>
      <c r="C20" s="144" t="s">
        <v>21</v>
      </c>
      <c r="D20" s="133" t="s">
        <v>22</v>
      </c>
      <c r="E20" s="134">
        <v>4000</v>
      </c>
      <c r="F20" s="134"/>
      <c r="G20" s="134"/>
      <c r="H20" s="135">
        <f t="shared" si="0"/>
        <v>4000</v>
      </c>
    </row>
    <row r="21" spans="1:8" ht="25.5">
      <c r="A21" s="125"/>
      <c r="B21" s="131"/>
      <c r="C21" s="144" t="s">
        <v>23</v>
      </c>
      <c r="D21" s="133" t="s">
        <v>24</v>
      </c>
      <c r="E21" s="134">
        <v>4300</v>
      </c>
      <c r="F21" s="134"/>
      <c r="G21" s="134"/>
      <c r="H21" s="135">
        <f t="shared" si="0"/>
        <v>4300</v>
      </c>
    </row>
    <row r="22" spans="1:8" ht="12.75">
      <c r="A22" s="125"/>
      <c r="B22" s="131"/>
      <c r="C22" s="144" t="s">
        <v>25</v>
      </c>
      <c r="D22" s="133" t="s">
        <v>26</v>
      </c>
      <c r="E22" s="134">
        <v>800</v>
      </c>
      <c r="F22" s="134"/>
      <c r="G22" s="134"/>
      <c r="H22" s="135">
        <f t="shared" si="0"/>
        <v>800</v>
      </c>
    </row>
    <row r="23" spans="1:8" ht="51.75" customHeight="1">
      <c r="A23" s="156"/>
      <c r="B23" s="157"/>
      <c r="C23" s="158">
        <v>6300</v>
      </c>
      <c r="D23" s="159" t="s">
        <v>27</v>
      </c>
      <c r="E23" s="160">
        <v>200000</v>
      </c>
      <c r="F23" s="160"/>
      <c r="G23" s="160"/>
      <c r="H23" s="161">
        <f t="shared" si="0"/>
        <v>200000</v>
      </c>
    </row>
    <row r="24" spans="1:8" ht="12.75">
      <c r="A24" s="169">
        <v>700</v>
      </c>
      <c r="B24" s="163"/>
      <c r="C24" s="164"/>
      <c r="D24" s="165" t="s">
        <v>28</v>
      </c>
      <c r="E24" s="166">
        <f>E25</f>
        <v>316636</v>
      </c>
      <c r="F24" s="188">
        <f>F25</f>
        <v>0</v>
      </c>
      <c r="G24" s="170"/>
      <c r="H24" s="190">
        <f t="shared" si="0"/>
        <v>316636</v>
      </c>
    </row>
    <row r="25" spans="1:8" ht="12.75">
      <c r="A25" s="125"/>
      <c r="B25" s="142">
        <v>70005</v>
      </c>
      <c r="C25" s="127"/>
      <c r="D25" s="128" t="s">
        <v>29</v>
      </c>
      <c r="E25" s="129">
        <f>SUM(E26:E28)</f>
        <v>316636</v>
      </c>
      <c r="F25" s="129">
        <f>SUM(F26:F28)</f>
        <v>0</v>
      </c>
      <c r="G25" s="129"/>
      <c r="H25" s="130">
        <f t="shared" si="0"/>
        <v>316636</v>
      </c>
    </row>
    <row r="26" spans="1:8" ht="51">
      <c r="A26" s="125"/>
      <c r="B26" s="131"/>
      <c r="C26" s="144" t="s">
        <v>30</v>
      </c>
      <c r="D26" s="133" t="s">
        <v>31</v>
      </c>
      <c r="E26" s="134">
        <v>120436</v>
      </c>
      <c r="F26" s="134"/>
      <c r="G26" s="134"/>
      <c r="H26" s="135">
        <f t="shared" si="0"/>
        <v>120436</v>
      </c>
    </row>
    <row r="27" spans="1:8" ht="38.25">
      <c r="A27" s="125"/>
      <c r="B27" s="131"/>
      <c r="C27" s="144" t="s">
        <v>32</v>
      </c>
      <c r="D27" s="133" t="s">
        <v>33</v>
      </c>
      <c r="E27" s="134">
        <v>181200</v>
      </c>
      <c r="F27" s="134"/>
      <c r="G27" s="134"/>
      <c r="H27" s="135">
        <f t="shared" si="0"/>
        <v>181200</v>
      </c>
    </row>
    <row r="28" spans="1:8" ht="51">
      <c r="A28" s="182"/>
      <c r="B28" s="183"/>
      <c r="C28" s="289">
        <v>2110</v>
      </c>
      <c r="D28" s="290" t="s">
        <v>9</v>
      </c>
      <c r="E28" s="186">
        <v>15000</v>
      </c>
      <c r="F28" s="186"/>
      <c r="G28" s="186"/>
      <c r="H28" s="187">
        <f t="shared" si="0"/>
        <v>15000</v>
      </c>
    </row>
    <row r="29" spans="1:8" ht="12.75">
      <c r="A29" s="291">
        <v>710</v>
      </c>
      <c r="B29" s="122"/>
      <c r="C29" s="123"/>
      <c r="D29" s="124" t="s">
        <v>34</v>
      </c>
      <c r="E29" s="188">
        <f>E30+E32+E34</f>
        <v>385000</v>
      </c>
      <c r="F29" s="188">
        <f>F30+F32+F34</f>
        <v>45000</v>
      </c>
      <c r="G29" s="292"/>
      <c r="H29" s="189">
        <f t="shared" si="0"/>
        <v>430000</v>
      </c>
    </row>
    <row r="30" spans="1:8" ht="25.5">
      <c r="A30" s="125"/>
      <c r="B30" s="142">
        <v>71013</v>
      </c>
      <c r="C30" s="127"/>
      <c r="D30" s="128" t="s">
        <v>35</v>
      </c>
      <c r="E30" s="129">
        <f>E31</f>
        <v>172000</v>
      </c>
      <c r="F30" s="129"/>
      <c r="G30" s="129"/>
      <c r="H30" s="130">
        <f t="shared" si="0"/>
        <v>172000</v>
      </c>
    </row>
    <row r="31" spans="1:8" ht="51">
      <c r="A31" s="125"/>
      <c r="B31" s="131"/>
      <c r="C31" s="132">
        <v>2110</v>
      </c>
      <c r="D31" s="133" t="s">
        <v>9</v>
      </c>
      <c r="E31" s="134">
        <v>172000</v>
      </c>
      <c r="F31" s="134"/>
      <c r="G31" s="134"/>
      <c r="H31" s="135">
        <f t="shared" si="0"/>
        <v>172000</v>
      </c>
    </row>
    <row r="32" spans="1:8" ht="12.75">
      <c r="A32" s="125"/>
      <c r="B32" s="142">
        <v>71014</v>
      </c>
      <c r="C32" s="127"/>
      <c r="D32" s="128" t="s">
        <v>36</v>
      </c>
      <c r="E32" s="129">
        <f>E33</f>
        <v>2000</v>
      </c>
      <c r="F32" s="129"/>
      <c r="G32" s="129"/>
      <c r="H32" s="130">
        <f t="shared" si="0"/>
        <v>2000</v>
      </c>
    </row>
    <row r="33" spans="1:8" ht="51">
      <c r="A33" s="125"/>
      <c r="B33" s="131"/>
      <c r="C33" s="132">
        <v>2110</v>
      </c>
      <c r="D33" s="133" t="s">
        <v>9</v>
      </c>
      <c r="E33" s="134">
        <v>2000</v>
      </c>
      <c r="F33" s="134"/>
      <c r="G33" s="134"/>
      <c r="H33" s="135">
        <f t="shared" si="0"/>
        <v>2000</v>
      </c>
    </row>
    <row r="34" spans="1:8" ht="12.75">
      <c r="A34" s="125"/>
      <c r="B34" s="142">
        <v>71015</v>
      </c>
      <c r="C34" s="127"/>
      <c r="D34" s="128" t="s">
        <v>37</v>
      </c>
      <c r="E34" s="129">
        <f>SUM(E35:E36)</f>
        <v>211000</v>
      </c>
      <c r="F34" s="129">
        <f>SUM(F35:F36)</f>
        <v>45000</v>
      </c>
      <c r="G34" s="129"/>
      <c r="H34" s="130">
        <f t="shared" si="0"/>
        <v>256000</v>
      </c>
    </row>
    <row r="35" spans="1:13" ht="51">
      <c r="A35" s="125"/>
      <c r="B35" s="131"/>
      <c r="C35" s="132">
        <v>2110</v>
      </c>
      <c r="D35" s="133" t="s">
        <v>9</v>
      </c>
      <c r="E35" s="134">
        <v>211000</v>
      </c>
      <c r="F35" s="134">
        <v>3000</v>
      </c>
      <c r="G35" s="134"/>
      <c r="H35" s="135">
        <f t="shared" si="0"/>
        <v>214000</v>
      </c>
      <c r="M35" s="6">
        <f>SUM(J41:K41)</f>
        <v>3941793</v>
      </c>
    </row>
    <row r="36" spans="1:8" ht="63.75">
      <c r="A36" s="156"/>
      <c r="B36" s="157"/>
      <c r="C36" s="168">
        <v>6410</v>
      </c>
      <c r="D36" s="159" t="s">
        <v>38</v>
      </c>
      <c r="E36" s="160"/>
      <c r="F36" s="160">
        <v>42000</v>
      </c>
      <c r="G36" s="160"/>
      <c r="H36" s="161">
        <f t="shared" si="0"/>
        <v>42000</v>
      </c>
    </row>
    <row r="37" spans="1:8" ht="12.75" customHeight="1">
      <c r="A37" s="169">
        <v>750</v>
      </c>
      <c r="B37" s="163"/>
      <c r="C37" s="164"/>
      <c r="D37" s="165" t="s">
        <v>39</v>
      </c>
      <c r="E37" s="166">
        <f>SUM(E38,E42,E51)</f>
        <v>339301</v>
      </c>
      <c r="F37" s="166"/>
      <c r="G37" s="170"/>
      <c r="H37" s="190">
        <f t="shared" si="0"/>
        <v>339301</v>
      </c>
    </row>
    <row r="38" spans="1:8" ht="12.75">
      <c r="A38" s="125"/>
      <c r="B38" s="142">
        <v>75011</v>
      </c>
      <c r="C38" s="127"/>
      <c r="D38" s="128" t="s">
        <v>40</v>
      </c>
      <c r="E38" s="129">
        <f>SUM(E39:E41)</f>
        <v>236950</v>
      </c>
      <c r="F38" s="129"/>
      <c r="G38" s="129"/>
      <c r="H38" s="130">
        <f t="shared" si="0"/>
        <v>236950</v>
      </c>
    </row>
    <row r="39" spans="1:18" ht="54.75" customHeight="1">
      <c r="A39" s="125"/>
      <c r="B39" s="131"/>
      <c r="C39" s="132">
        <v>2110</v>
      </c>
      <c r="D39" s="133" t="s">
        <v>9</v>
      </c>
      <c r="E39" s="134">
        <v>148800</v>
      </c>
      <c r="F39" s="134"/>
      <c r="G39" s="134"/>
      <c r="H39" s="135">
        <f t="shared" si="0"/>
        <v>148800</v>
      </c>
      <c r="I39" s="31">
        <v>6410</v>
      </c>
      <c r="J39" s="12">
        <v>2110</v>
      </c>
      <c r="K39" s="12">
        <v>2120</v>
      </c>
      <c r="L39" s="13" t="s">
        <v>41</v>
      </c>
      <c r="M39" s="14" t="s">
        <v>42</v>
      </c>
      <c r="N39" s="13" t="s">
        <v>43</v>
      </c>
      <c r="O39" s="13" t="s">
        <v>44</v>
      </c>
      <c r="P39" s="13" t="s">
        <v>45</v>
      </c>
      <c r="Q39" s="12" t="s">
        <v>46</v>
      </c>
      <c r="R39" s="15" t="s">
        <v>47</v>
      </c>
    </row>
    <row r="40" spans="1:18" ht="51">
      <c r="A40" s="125"/>
      <c r="B40" s="131"/>
      <c r="C40" s="132">
        <v>2120</v>
      </c>
      <c r="D40" s="133" t="s">
        <v>12</v>
      </c>
      <c r="E40" s="134"/>
      <c r="F40" s="134"/>
      <c r="G40" s="134"/>
      <c r="H40" s="135">
        <f t="shared" si="0"/>
        <v>0</v>
      </c>
      <c r="I40" s="31"/>
      <c r="J40" s="12"/>
      <c r="K40" s="12"/>
      <c r="L40" s="13"/>
      <c r="M40" s="14"/>
      <c r="N40" s="13"/>
      <c r="O40" s="13"/>
      <c r="P40" s="13"/>
      <c r="Q40" s="12"/>
      <c r="R40" s="15"/>
    </row>
    <row r="41" spans="1:18" ht="51">
      <c r="A41" s="125"/>
      <c r="B41" s="131"/>
      <c r="C41" s="132">
        <v>2360</v>
      </c>
      <c r="D41" s="133" t="s">
        <v>48</v>
      </c>
      <c r="E41" s="134">
        <v>88150</v>
      </c>
      <c r="F41" s="134"/>
      <c r="G41" s="134"/>
      <c r="H41" s="135">
        <f t="shared" si="0"/>
        <v>88150</v>
      </c>
      <c r="I41" s="32">
        <f>SUM(E64)</f>
        <v>70000</v>
      </c>
      <c r="J41" s="16">
        <f>SUM(E11,E28,E31,E33,E35,E39,E52,E62,E99,E113)</f>
        <v>3928793</v>
      </c>
      <c r="K41" s="16">
        <f>SUM(E13,E53)</f>
        <v>13000</v>
      </c>
      <c r="L41" s="16">
        <f>SUM(E75)</f>
        <v>17398818</v>
      </c>
      <c r="M41" s="16">
        <f>SUM(E79)</f>
        <v>1774167</v>
      </c>
      <c r="N41" s="17">
        <f>SUM(E77)</f>
        <v>3555622</v>
      </c>
      <c r="O41" s="17">
        <f>SUM(E72)</f>
        <v>95000</v>
      </c>
      <c r="P41" s="17">
        <f>SUM(E71)</f>
        <v>5413678</v>
      </c>
      <c r="Q41" s="16">
        <f>SUM(E18,E26,E27,E41,E42,E61,E68,E81,E83,E88,E102,E103,E104,E118,E120,E121,E115)</f>
        <v>2542650</v>
      </c>
      <c r="R41" s="16">
        <f>SUM(E105,E107)</f>
        <v>562850</v>
      </c>
    </row>
    <row r="42" spans="1:14" ht="18" customHeight="1">
      <c r="A42" s="125"/>
      <c r="B42" s="142">
        <v>75020</v>
      </c>
      <c r="C42" s="127"/>
      <c r="D42" s="128" t="s">
        <v>49</v>
      </c>
      <c r="E42" s="129">
        <f>SUM(E43:E50)</f>
        <v>73351</v>
      </c>
      <c r="F42" s="129"/>
      <c r="G42" s="129"/>
      <c r="H42" s="130">
        <f t="shared" si="0"/>
        <v>73351</v>
      </c>
      <c r="I42" s="33"/>
      <c r="J42" s="19">
        <f>SUM(I41:K41)</f>
        <v>4011793</v>
      </c>
      <c r="K42" s="20"/>
      <c r="L42" s="18"/>
      <c r="M42" s="19">
        <f>SUM(L41:N41)</f>
        <v>22728607</v>
      </c>
      <c r="N42" s="20"/>
    </row>
    <row r="43" spans="1:13" ht="25.5">
      <c r="A43" s="125"/>
      <c r="B43" s="131"/>
      <c r="C43" s="144" t="s">
        <v>50</v>
      </c>
      <c r="D43" s="133" t="s">
        <v>51</v>
      </c>
      <c r="E43" s="134">
        <v>300</v>
      </c>
      <c r="F43" s="134"/>
      <c r="G43" s="134"/>
      <c r="H43" s="135">
        <f t="shared" si="0"/>
        <v>300</v>
      </c>
      <c r="I43" t="s">
        <v>52</v>
      </c>
      <c r="K43" s="21">
        <f>SUM(J42,M42,O41,P41,Q41,R41)</f>
        <v>35354578</v>
      </c>
      <c r="L43" s="22"/>
      <c r="M43" s="22"/>
    </row>
    <row r="44" spans="1:8" ht="12.75">
      <c r="A44" s="125"/>
      <c r="B44" s="131"/>
      <c r="C44" s="144" t="s">
        <v>19</v>
      </c>
      <c r="D44" s="133" t="s">
        <v>20</v>
      </c>
      <c r="E44" s="134">
        <v>2300</v>
      </c>
      <c r="F44" s="134"/>
      <c r="G44" s="134"/>
      <c r="H44" s="135">
        <f t="shared" si="0"/>
        <v>2300</v>
      </c>
    </row>
    <row r="45" spans="1:8" ht="12.75">
      <c r="A45" s="125"/>
      <c r="B45" s="131"/>
      <c r="C45" s="144" t="s">
        <v>21</v>
      </c>
      <c r="D45" s="133" t="s">
        <v>22</v>
      </c>
      <c r="E45" s="134">
        <v>100</v>
      </c>
      <c r="F45" s="134"/>
      <c r="G45" s="134"/>
      <c r="H45" s="135">
        <f t="shared" si="0"/>
        <v>100</v>
      </c>
    </row>
    <row r="46" spans="1:8" ht="25.5" hidden="1">
      <c r="A46" s="125"/>
      <c r="B46" s="131"/>
      <c r="C46" s="144" t="s">
        <v>53</v>
      </c>
      <c r="D46" s="133" t="s">
        <v>54</v>
      </c>
      <c r="E46" s="134">
        <v>0</v>
      </c>
      <c r="F46" s="134"/>
      <c r="G46" s="134"/>
      <c r="H46" s="135">
        <f t="shared" si="0"/>
        <v>0</v>
      </c>
    </row>
    <row r="47" spans="1:8" ht="12.75" hidden="1">
      <c r="A47" s="125"/>
      <c r="B47" s="131"/>
      <c r="C47" s="144" t="s">
        <v>55</v>
      </c>
      <c r="D47" s="133" t="s">
        <v>56</v>
      </c>
      <c r="E47" s="134">
        <v>0</v>
      </c>
      <c r="F47" s="134"/>
      <c r="G47" s="134"/>
      <c r="H47" s="135">
        <f t="shared" si="0"/>
        <v>0</v>
      </c>
    </row>
    <row r="48" spans="1:8" ht="25.5">
      <c r="A48" s="125"/>
      <c r="B48" s="131"/>
      <c r="C48" s="143" t="s">
        <v>226</v>
      </c>
      <c r="D48" s="133" t="s">
        <v>227</v>
      </c>
      <c r="E48" s="134">
        <v>151</v>
      </c>
      <c r="F48" s="134"/>
      <c r="G48" s="134"/>
      <c r="H48" s="135">
        <f>E48+F48-G48</f>
        <v>151</v>
      </c>
    </row>
    <row r="49" spans="1:8" ht="12.75">
      <c r="A49" s="125"/>
      <c r="B49" s="131"/>
      <c r="C49" s="144" t="s">
        <v>25</v>
      </c>
      <c r="D49" s="133" t="s">
        <v>26</v>
      </c>
      <c r="E49" s="134">
        <v>50000</v>
      </c>
      <c r="F49" s="134"/>
      <c r="G49" s="134"/>
      <c r="H49" s="135">
        <f t="shared" si="0"/>
        <v>50000</v>
      </c>
    </row>
    <row r="50" spans="1:8" ht="39.75" customHeight="1">
      <c r="A50" s="125"/>
      <c r="B50" s="131"/>
      <c r="C50" s="144">
        <v>2710</v>
      </c>
      <c r="D50" s="159" t="s">
        <v>225</v>
      </c>
      <c r="E50" s="134">
        <v>20500</v>
      </c>
      <c r="F50" s="134"/>
      <c r="G50" s="134"/>
      <c r="H50" s="135">
        <f>E50+F50-G50</f>
        <v>20500</v>
      </c>
    </row>
    <row r="51" spans="1:8" ht="12.75">
      <c r="A51" s="125"/>
      <c r="B51" s="142">
        <v>75045</v>
      </c>
      <c r="C51" s="127"/>
      <c r="D51" s="128" t="s">
        <v>57</v>
      </c>
      <c r="E51" s="129">
        <f>E52+E53</f>
        <v>29000</v>
      </c>
      <c r="F51" s="129"/>
      <c r="G51" s="129"/>
      <c r="H51" s="130">
        <f t="shared" si="0"/>
        <v>29000</v>
      </c>
    </row>
    <row r="52" spans="1:8" ht="51">
      <c r="A52" s="125"/>
      <c r="B52" s="131"/>
      <c r="C52" s="132">
        <v>2110</v>
      </c>
      <c r="D52" s="133" t="s">
        <v>9</v>
      </c>
      <c r="E52" s="134">
        <v>22000</v>
      </c>
      <c r="F52" s="134"/>
      <c r="G52" s="134"/>
      <c r="H52" s="135">
        <f t="shared" si="0"/>
        <v>22000</v>
      </c>
    </row>
    <row r="53" spans="1:8" ht="51">
      <c r="A53" s="156"/>
      <c r="B53" s="157"/>
      <c r="C53" s="168">
        <v>2120</v>
      </c>
      <c r="D53" s="159" t="s">
        <v>12</v>
      </c>
      <c r="E53" s="160">
        <v>7000</v>
      </c>
      <c r="F53" s="160"/>
      <c r="G53" s="160"/>
      <c r="H53" s="161">
        <f t="shared" si="0"/>
        <v>7000</v>
      </c>
    </row>
    <row r="54" spans="1:8" ht="25.5">
      <c r="A54" s="169">
        <v>754</v>
      </c>
      <c r="B54" s="163"/>
      <c r="C54" s="164"/>
      <c r="D54" s="165" t="s">
        <v>58</v>
      </c>
      <c r="E54" s="166">
        <f>SUM(E60,E65,E58)</f>
        <v>2239633</v>
      </c>
      <c r="F54" s="170"/>
      <c r="G54" s="170"/>
      <c r="H54" s="190">
        <f t="shared" si="0"/>
        <v>2239633</v>
      </c>
    </row>
    <row r="55" spans="1:8" ht="12.75" hidden="1">
      <c r="A55" s="125"/>
      <c r="B55" s="131">
        <v>75405</v>
      </c>
      <c r="C55" s="132"/>
      <c r="D55" s="133" t="s">
        <v>59</v>
      </c>
      <c r="E55" s="134">
        <f>SUM(E56:E57)</f>
        <v>0</v>
      </c>
      <c r="F55" s="134"/>
      <c r="G55" s="134"/>
      <c r="H55" s="135">
        <f t="shared" si="0"/>
        <v>0</v>
      </c>
    </row>
    <row r="56" spans="1:8" ht="12.75" hidden="1">
      <c r="A56" s="125"/>
      <c r="B56" s="131"/>
      <c r="C56" s="144" t="s">
        <v>60</v>
      </c>
      <c r="D56" s="133" t="s">
        <v>26</v>
      </c>
      <c r="E56" s="134"/>
      <c r="F56" s="134"/>
      <c r="G56" s="134"/>
      <c r="H56" s="135">
        <f t="shared" si="0"/>
        <v>0</v>
      </c>
    </row>
    <row r="57" spans="1:8" ht="51" hidden="1">
      <c r="A57" s="125"/>
      <c r="B57" s="131"/>
      <c r="C57" s="132">
        <v>211</v>
      </c>
      <c r="D57" s="133" t="s">
        <v>9</v>
      </c>
      <c r="E57" s="134"/>
      <c r="F57" s="134"/>
      <c r="G57" s="134"/>
      <c r="H57" s="135">
        <f t="shared" si="0"/>
        <v>0</v>
      </c>
    </row>
    <row r="58" spans="1:8" ht="12.75">
      <c r="A58" s="125"/>
      <c r="B58" s="142">
        <v>75405</v>
      </c>
      <c r="C58" s="127"/>
      <c r="D58" s="128" t="s">
        <v>59</v>
      </c>
      <c r="E58" s="129">
        <f>SUM(E59)</f>
        <v>10000</v>
      </c>
      <c r="F58" s="129"/>
      <c r="G58" s="129"/>
      <c r="H58" s="130">
        <f t="shared" si="0"/>
        <v>10000</v>
      </c>
    </row>
    <row r="59" spans="1:8" ht="38.25">
      <c r="A59" s="125"/>
      <c r="B59" s="131"/>
      <c r="C59" s="132">
        <v>6170</v>
      </c>
      <c r="D59" s="133" t="s">
        <v>61</v>
      </c>
      <c r="E59" s="134">
        <v>10000</v>
      </c>
      <c r="F59" s="134"/>
      <c r="G59" s="134"/>
      <c r="H59" s="135">
        <f t="shared" si="0"/>
        <v>10000</v>
      </c>
    </row>
    <row r="60" spans="1:8" ht="25.5">
      <c r="A60" s="125"/>
      <c r="B60" s="142">
        <v>75411</v>
      </c>
      <c r="C60" s="127"/>
      <c r="D60" s="128" t="s">
        <v>62</v>
      </c>
      <c r="E60" s="129">
        <f>SUM(E61:E64)</f>
        <v>2229633</v>
      </c>
      <c r="F60" s="129"/>
      <c r="G60" s="129"/>
      <c r="H60" s="130">
        <f t="shared" si="0"/>
        <v>2229633</v>
      </c>
    </row>
    <row r="61" spans="1:8" ht="12.75">
      <c r="A61" s="125"/>
      <c r="B61" s="131"/>
      <c r="C61" s="144" t="s">
        <v>25</v>
      </c>
      <c r="D61" s="133" t="s">
        <v>26</v>
      </c>
      <c r="E61" s="134">
        <v>1000</v>
      </c>
      <c r="F61" s="134"/>
      <c r="G61" s="134"/>
      <c r="H61" s="135">
        <f t="shared" si="0"/>
        <v>1000</v>
      </c>
    </row>
    <row r="62" spans="1:8" ht="51">
      <c r="A62" s="125"/>
      <c r="B62" s="131"/>
      <c r="C62" s="132">
        <v>2110</v>
      </c>
      <c r="D62" s="133" t="s">
        <v>9</v>
      </c>
      <c r="E62" s="134">
        <v>2148633</v>
      </c>
      <c r="F62" s="134"/>
      <c r="G62" s="134"/>
      <c r="H62" s="135">
        <f t="shared" si="0"/>
        <v>2148633</v>
      </c>
    </row>
    <row r="63" spans="1:8" ht="39.75" customHeight="1">
      <c r="A63" s="125"/>
      <c r="B63" s="131"/>
      <c r="C63" s="132">
        <v>2710</v>
      </c>
      <c r="D63" s="133" t="s">
        <v>63</v>
      </c>
      <c r="E63" s="134">
        <v>10000</v>
      </c>
      <c r="F63" s="134"/>
      <c r="G63" s="134"/>
      <c r="H63" s="135">
        <f t="shared" si="0"/>
        <v>10000</v>
      </c>
    </row>
    <row r="64" spans="1:8" ht="63.75">
      <c r="A64" s="156"/>
      <c r="B64" s="157"/>
      <c r="C64" s="168">
        <v>6410</v>
      </c>
      <c r="D64" s="159" t="s">
        <v>38</v>
      </c>
      <c r="E64" s="160">
        <v>70000</v>
      </c>
      <c r="F64" s="160"/>
      <c r="G64" s="160"/>
      <c r="H64" s="161">
        <f t="shared" si="0"/>
        <v>70000</v>
      </c>
    </row>
    <row r="65" spans="1:8" ht="12.75" hidden="1">
      <c r="A65" s="171"/>
      <c r="B65" s="172">
        <v>75414</v>
      </c>
      <c r="C65" s="173"/>
      <c r="D65" s="174" t="s">
        <v>64</v>
      </c>
      <c r="E65" s="175">
        <f>SUM(E66:E66)</f>
        <v>0</v>
      </c>
      <c r="F65" s="175"/>
      <c r="G65" s="175"/>
      <c r="H65" s="176">
        <f t="shared" si="0"/>
        <v>0</v>
      </c>
    </row>
    <row r="66" spans="1:8" ht="63.75" hidden="1">
      <c r="A66" s="125"/>
      <c r="B66" s="131"/>
      <c r="C66" s="132">
        <v>6410</v>
      </c>
      <c r="D66" s="133" t="s">
        <v>38</v>
      </c>
      <c r="E66" s="134"/>
      <c r="F66" s="134"/>
      <c r="G66" s="134"/>
      <c r="H66" s="135">
        <f t="shared" si="0"/>
        <v>0</v>
      </c>
    </row>
    <row r="67" spans="1:8" ht="51">
      <c r="A67" s="140">
        <v>756</v>
      </c>
      <c r="B67" s="136"/>
      <c r="C67" s="137"/>
      <c r="D67" s="138" t="s">
        <v>65</v>
      </c>
      <c r="E67" s="139">
        <f>SUM(E68,E70)</f>
        <v>6600548</v>
      </c>
      <c r="F67" s="139"/>
      <c r="G67" s="139">
        <f>SUM(G68,G70)</f>
        <v>69300</v>
      </c>
      <c r="H67" s="191">
        <f t="shared" si="0"/>
        <v>6531248</v>
      </c>
    </row>
    <row r="68" spans="1:8" ht="38.25">
      <c r="A68" s="125"/>
      <c r="B68" s="142">
        <v>75618</v>
      </c>
      <c r="C68" s="127"/>
      <c r="D68" s="128" t="s">
        <v>66</v>
      </c>
      <c r="E68" s="129">
        <v>1091870</v>
      </c>
      <c r="F68" s="129"/>
      <c r="G68" s="129"/>
      <c r="H68" s="130">
        <f t="shared" si="0"/>
        <v>1091870</v>
      </c>
    </row>
    <row r="69" spans="1:8" ht="12.75">
      <c r="A69" s="125"/>
      <c r="B69" s="131"/>
      <c r="C69" s="144" t="s">
        <v>67</v>
      </c>
      <c r="D69" s="133" t="s">
        <v>68</v>
      </c>
      <c r="E69" s="134">
        <v>1091870</v>
      </c>
      <c r="F69" s="134"/>
      <c r="G69" s="134"/>
      <c r="H69" s="135">
        <f t="shared" si="0"/>
        <v>1091870</v>
      </c>
    </row>
    <row r="70" spans="1:8" ht="25.5">
      <c r="A70" s="125"/>
      <c r="B70" s="142">
        <v>75622</v>
      </c>
      <c r="C70" s="127"/>
      <c r="D70" s="128" t="s">
        <v>69</v>
      </c>
      <c r="E70" s="129">
        <f>SUM(E71:E72)</f>
        <v>5508678</v>
      </c>
      <c r="F70" s="129"/>
      <c r="G70" s="129">
        <f>SUM(G71:G72)</f>
        <v>69300</v>
      </c>
      <c r="H70" s="130">
        <f t="shared" si="0"/>
        <v>5439378</v>
      </c>
    </row>
    <row r="71" spans="1:8" ht="12.75">
      <c r="A71" s="125"/>
      <c r="B71" s="131"/>
      <c r="C71" s="144" t="s">
        <v>70</v>
      </c>
      <c r="D71" s="133" t="s">
        <v>71</v>
      </c>
      <c r="E71" s="134">
        <v>5413678</v>
      </c>
      <c r="F71" s="134"/>
      <c r="G71" s="134">
        <v>69300</v>
      </c>
      <c r="H71" s="135">
        <f t="shared" si="0"/>
        <v>5344378</v>
      </c>
    </row>
    <row r="72" spans="1:8" ht="12.75">
      <c r="A72" s="156"/>
      <c r="B72" s="157"/>
      <c r="C72" s="158" t="s">
        <v>72</v>
      </c>
      <c r="D72" s="159" t="s">
        <v>73</v>
      </c>
      <c r="E72" s="160">
        <v>95000</v>
      </c>
      <c r="F72" s="160"/>
      <c r="G72" s="160"/>
      <c r="H72" s="161">
        <f t="shared" si="0"/>
        <v>95000</v>
      </c>
    </row>
    <row r="73" spans="1:8" ht="12.75">
      <c r="A73" s="169">
        <v>758</v>
      </c>
      <c r="B73" s="163"/>
      <c r="C73" s="164"/>
      <c r="D73" s="165" t="s">
        <v>74</v>
      </c>
      <c r="E73" s="166">
        <f>SUM(E74,E76,E78,E80)</f>
        <v>22838085</v>
      </c>
      <c r="F73" s="166">
        <f>SUM(F74,F76,F78,F80)</f>
        <v>108417</v>
      </c>
      <c r="G73" s="170"/>
      <c r="H73" s="190">
        <f t="shared" si="0"/>
        <v>22946502</v>
      </c>
    </row>
    <row r="74" spans="1:8" ht="25.5">
      <c r="A74" s="125"/>
      <c r="B74" s="142">
        <v>75801</v>
      </c>
      <c r="C74" s="127"/>
      <c r="D74" s="128" t="s">
        <v>41</v>
      </c>
      <c r="E74" s="129">
        <f>SUM(E75)</f>
        <v>17398818</v>
      </c>
      <c r="F74" s="129">
        <f>SUM(F75)</f>
        <v>108417</v>
      </c>
      <c r="G74" s="129"/>
      <c r="H74" s="130">
        <f aca="true" t="shared" si="1" ref="H74:H135">E74+F74-G74</f>
        <v>17507235</v>
      </c>
    </row>
    <row r="75" spans="1:8" ht="12.75">
      <c r="A75" s="125"/>
      <c r="B75" s="131"/>
      <c r="C75" s="132">
        <v>2920</v>
      </c>
      <c r="D75" s="133" t="s">
        <v>75</v>
      </c>
      <c r="E75" s="134">
        <v>17398818</v>
      </c>
      <c r="F75" s="134">
        <v>108417</v>
      </c>
      <c r="G75" s="134"/>
      <c r="H75" s="135">
        <f t="shared" si="1"/>
        <v>17507235</v>
      </c>
    </row>
    <row r="76" spans="1:8" ht="25.5">
      <c r="A76" s="125"/>
      <c r="B76" s="142">
        <v>75803</v>
      </c>
      <c r="C76" s="127"/>
      <c r="D76" s="128" t="s">
        <v>43</v>
      </c>
      <c r="E76" s="129">
        <f>SUM(E77)</f>
        <v>3555622</v>
      </c>
      <c r="F76" s="129"/>
      <c r="G76" s="129"/>
      <c r="H76" s="130">
        <f t="shared" si="1"/>
        <v>3555622</v>
      </c>
    </row>
    <row r="77" spans="1:8" ht="12.75">
      <c r="A77" s="125"/>
      <c r="B77" s="131"/>
      <c r="C77" s="132">
        <v>2920</v>
      </c>
      <c r="D77" s="133" t="s">
        <v>75</v>
      </c>
      <c r="E77" s="134">
        <v>3555622</v>
      </c>
      <c r="F77" s="134"/>
      <c r="G77" s="134"/>
      <c r="H77" s="135">
        <f t="shared" si="1"/>
        <v>3555622</v>
      </c>
    </row>
    <row r="78" spans="1:8" s="25" customFormat="1" ht="12.75" customHeight="1">
      <c r="A78" s="145"/>
      <c r="B78" s="146">
        <v>75832</v>
      </c>
      <c r="C78" s="147"/>
      <c r="D78" s="148" t="s">
        <v>42</v>
      </c>
      <c r="E78" s="129">
        <f>SUM(E79)</f>
        <v>1774167</v>
      </c>
      <c r="F78" s="149"/>
      <c r="G78" s="149"/>
      <c r="H78" s="130">
        <f t="shared" si="1"/>
        <v>1774167</v>
      </c>
    </row>
    <row r="79" spans="1:8" ht="12.75">
      <c r="A79" s="125"/>
      <c r="B79" s="131"/>
      <c r="C79" s="132">
        <v>2920</v>
      </c>
      <c r="D79" s="133" t="s">
        <v>75</v>
      </c>
      <c r="E79" s="134">
        <v>1774167</v>
      </c>
      <c r="F79" s="134"/>
      <c r="G79" s="134"/>
      <c r="H79" s="135">
        <f t="shared" si="1"/>
        <v>1774167</v>
      </c>
    </row>
    <row r="80" spans="1:8" ht="12.75">
      <c r="A80" s="125"/>
      <c r="B80" s="142">
        <v>75814</v>
      </c>
      <c r="C80" s="127"/>
      <c r="D80" s="128" t="s">
        <v>76</v>
      </c>
      <c r="E80" s="129">
        <f>SUM(E81)</f>
        <v>109478</v>
      </c>
      <c r="F80" s="129"/>
      <c r="G80" s="129"/>
      <c r="H80" s="130">
        <f t="shared" si="1"/>
        <v>109478</v>
      </c>
    </row>
    <row r="81" spans="1:8" ht="12.75">
      <c r="A81" s="156"/>
      <c r="B81" s="157"/>
      <c r="C81" s="158" t="s">
        <v>55</v>
      </c>
      <c r="D81" s="159" t="s">
        <v>56</v>
      </c>
      <c r="E81" s="160">
        <v>109478</v>
      </c>
      <c r="F81" s="160"/>
      <c r="G81" s="160"/>
      <c r="H81" s="161">
        <f t="shared" si="1"/>
        <v>109478</v>
      </c>
    </row>
    <row r="82" spans="1:8" ht="12.75">
      <c r="A82" s="169">
        <v>801</v>
      </c>
      <c r="B82" s="163"/>
      <c r="C82" s="177"/>
      <c r="D82" s="165" t="s">
        <v>77</v>
      </c>
      <c r="E82" s="166">
        <f>SUM(E83,E88,E95)+E93</f>
        <v>125634</v>
      </c>
      <c r="F82" s="166">
        <f>SUM(F83,F88,F95)+F93</f>
        <v>7595</v>
      </c>
      <c r="G82" s="170"/>
      <c r="H82" s="190">
        <f t="shared" si="1"/>
        <v>133229</v>
      </c>
    </row>
    <row r="83" spans="1:8" ht="12.75">
      <c r="A83" s="125"/>
      <c r="B83" s="142">
        <v>80120</v>
      </c>
      <c r="C83" s="150"/>
      <c r="D83" s="128" t="s">
        <v>78</v>
      </c>
      <c r="E83" s="129">
        <f>SUM(E84:E85)</f>
        <v>7097</v>
      </c>
      <c r="F83" s="129"/>
      <c r="G83" s="129"/>
      <c r="H83" s="130">
        <f t="shared" si="1"/>
        <v>7097</v>
      </c>
    </row>
    <row r="84" spans="1:8" ht="12.75">
      <c r="A84" s="125"/>
      <c r="B84" s="131"/>
      <c r="C84" s="144" t="s">
        <v>21</v>
      </c>
      <c r="D84" s="133" t="s">
        <v>22</v>
      </c>
      <c r="E84" s="134">
        <v>6907</v>
      </c>
      <c r="F84" s="134"/>
      <c r="G84" s="134"/>
      <c r="H84" s="135">
        <f t="shared" si="1"/>
        <v>6907</v>
      </c>
    </row>
    <row r="85" spans="1:8" ht="12.75">
      <c r="A85" s="125"/>
      <c r="B85" s="131"/>
      <c r="C85" s="144" t="s">
        <v>25</v>
      </c>
      <c r="D85" s="133" t="s">
        <v>26</v>
      </c>
      <c r="E85" s="134">
        <v>190</v>
      </c>
      <c r="F85" s="134"/>
      <c r="G85" s="134"/>
      <c r="H85" s="135">
        <f t="shared" si="1"/>
        <v>190</v>
      </c>
    </row>
    <row r="86" spans="1:8" ht="12.75" hidden="1">
      <c r="A86" s="125"/>
      <c r="B86" s="131"/>
      <c r="C86" s="144" t="s">
        <v>79</v>
      </c>
      <c r="D86" s="133" t="s">
        <v>22</v>
      </c>
      <c r="E86" s="134"/>
      <c r="F86" s="134"/>
      <c r="G86" s="134"/>
      <c r="H86" s="135">
        <f t="shared" si="1"/>
        <v>0</v>
      </c>
    </row>
    <row r="87" spans="1:8" ht="12.75" hidden="1">
      <c r="A87" s="125"/>
      <c r="B87" s="131"/>
      <c r="C87" s="144" t="s">
        <v>60</v>
      </c>
      <c r="D87" s="133" t="s">
        <v>26</v>
      </c>
      <c r="E87" s="134"/>
      <c r="F87" s="134"/>
      <c r="G87" s="134"/>
      <c r="H87" s="135">
        <f t="shared" si="1"/>
        <v>0</v>
      </c>
    </row>
    <row r="88" spans="1:8" ht="12.75">
      <c r="A88" s="125"/>
      <c r="B88" s="142">
        <v>80130</v>
      </c>
      <c r="C88" s="150"/>
      <c r="D88" s="128" t="s">
        <v>80</v>
      </c>
      <c r="E88" s="129">
        <f>SUM(E89:E92)</f>
        <v>118537</v>
      </c>
      <c r="F88" s="129"/>
      <c r="G88" s="129"/>
      <c r="H88" s="130">
        <f t="shared" si="1"/>
        <v>118537</v>
      </c>
    </row>
    <row r="89" spans="1:8" ht="18" customHeight="1">
      <c r="A89" s="125"/>
      <c r="B89" s="131"/>
      <c r="C89" s="144" t="s">
        <v>19</v>
      </c>
      <c r="D89" s="133" t="s">
        <v>20</v>
      </c>
      <c r="E89" s="134">
        <v>322</v>
      </c>
      <c r="F89" s="134"/>
      <c r="G89" s="134"/>
      <c r="H89" s="135">
        <f t="shared" si="1"/>
        <v>322</v>
      </c>
    </row>
    <row r="90" spans="1:8" ht="51">
      <c r="A90" s="125"/>
      <c r="B90" s="131"/>
      <c r="C90" s="144" t="s">
        <v>30</v>
      </c>
      <c r="D90" s="133" t="s">
        <v>31</v>
      </c>
      <c r="E90" s="134">
        <v>93728</v>
      </c>
      <c r="F90" s="134"/>
      <c r="G90" s="134"/>
      <c r="H90" s="135">
        <f t="shared" si="1"/>
        <v>93728</v>
      </c>
    </row>
    <row r="91" spans="1:8" ht="12.75">
      <c r="A91" s="125"/>
      <c r="B91" s="131"/>
      <c r="C91" s="144" t="s">
        <v>21</v>
      </c>
      <c r="D91" s="133" t="s">
        <v>22</v>
      </c>
      <c r="E91" s="134">
        <v>21503</v>
      </c>
      <c r="F91" s="134"/>
      <c r="G91" s="134"/>
      <c r="H91" s="135">
        <f t="shared" si="1"/>
        <v>21503</v>
      </c>
    </row>
    <row r="92" spans="1:8" ht="12.75">
      <c r="A92" s="125"/>
      <c r="B92" s="131"/>
      <c r="C92" s="144" t="s">
        <v>25</v>
      </c>
      <c r="D92" s="133" t="s">
        <v>26</v>
      </c>
      <c r="E92" s="134">
        <v>2984</v>
      </c>
      <c r="F92" s="134"/>
      <c r="G92" s="134"/>
      <c r="H92" s="135">
        <f t="shared" si="1"/>
        <v>2984</v>
      </c>
    </row>
    <row r="93" spans="1:8" ht="12.75">
      <c r="A93" s="125"/>
      <c r="B93" s="142">
        <v>80197</v>
      </c>
      <c r="C93" s="150"/>
      <c r="D93" s="128" t="s">
        <v>231</v>
      </c>
      <c r="E93" s="129">
        <f>E94</f>
        <v>0</v>
      </c>
      <c r="F93" s="129">
        <f>F94</f>
        <v>7595</v>
      </c>
      <c r="G93" s="129"/>
      <c r="H93" s="130">
        <f>E93+F93-G93</f>
        <v>7595</v>
      </c>
    </row>
    <row r="94" spans="1:8" ht="25.5" customHeight="1">
      <c r="A94" s="156"/>
      <c r="B94" s="157"/>
      <c r="C94" s="158">
        <v>2380</v>
      </c>
      <c r="D94" s="159" t="s">
        <v>232</v>
      </c>
      <c r="E94" s="160"/>
      <c r="F94" s="160">
        <v>7595</v>
      </c>
      <c r="G94" s="160"/>
      <c r="H94" s="161">
        <f>E94+F94-G94</f>
        <v>7595</v>
      </c>
    </row>
    <row r="95" spans="1:8" s="26" customFormat="1" ht="12.75" hidden="1">
      <c r="A95" s="171"/>
      <c r="B95" s="178">
        <v>80195</v>
      </c>
      <c r="C95" s="179"/>
      <c r="D95" s="180" t="s">
        <v>81</v>
      </c>
      <c r="E95" s="181">
        <f>SUM(E96)</f>
        <v>0</v>
      </c>
      <c r="F95" s="181"/>
      <c r="G95" s="181"/>
      <c r="H95" s="176">
        <f t="shared" si="1"/>
        <v>0</v>
      </c>
    </row>
    <row r="96" spans="1:8" s="26" customFormat="1" ht="38.25" hidden="1">
      <c r="A96" s="125"/>
      <c r="B96" s="151"/>
      <c r="C96" s="152">
        <v>213</v>
      </c>
      <c r="D96" s="133" t="s">
        <v>82</v>
      </c>
      <c r="E96" s="153"/>
      <c r="F96" s="153"/>
      <c r="G96" s="153"/>
      <c r="H96" s="135">
        <f t="shared" si="1"/>
        <v>0</v>
      </c>
    </row>
    <row r="97" spans="1:8" ht="12.75">
      <c r="A97" s="140">
        <v>851</v>
      </c>
      <c r="B97" s="136"/>
      <c r="C97" s="137"/>
      <c r="D97" s="138" t="s">
        <v>83</v>
      </c>
      <c r="E97" s="139">
        <f>+E98</f>
        <v>1094760</v>
      </c>
      <c r="F97" s="141"/>
      <c r="G97" s="141"/>
      <c r="H97" s="191">
        <f t="shared" si="1"/>
        <v>1094760</v>
      </c>
    </row>
    <row r="98" spans="1:8" ht="38.25">
      <c r="A98" s="125"/>
      <c r="B98" s="142">
        <v>85156</v>
      </c>
      <c r="C98" s="127"/>
      <c r="D98" s="128" t="s">
        <v>84</v>
      </c>
      <c r="E98" s="129">
        <f>E99</f>
        <v>1094760</v>
      </c>
      <c r="F98" s="129"/>
      <c r="G98" s="129"/>
      <c r="H98" s="130">
        <f t="shared" si="1"/>
        <v>1094760</v>
      </c>
    </row>
    <row r="99" spans="1:8" ht="51">
      <c r="A99" s="156"/>
      <c r="B99" s="157"/>
      <c r="C99" s="168">
        <v>2110</v>
      </c>
      <c r="D99" s="159" t="s">
        <v>9</v>
      </c>
      <c r="E99" s="160">
        <f>32760+1062000</f>
        <v>1094760</v>
      </c>
      <c r="F99" s="160"/>
      <c r="G99" s="160"/>
      <c r="H99" s="161">
        <f t="shared" si="1"/>
        <v>1094760</v>
      </c>
    </row>
    <row r="100" spans="1:8" ht="12.75">
      <c r="A100" s="169">
        <v>852</v>
      </c>
      <c r="B100" s="163"/>
      <c r="C100" s="164"/>
      <c r="D100" s="165" t="s">
        <v>85</v>
      </c>
      <c r="E100" s="166">
        <f>SUM(E101,E106,E108)</f>
        <v>648847</v>
      </c>
      <c r="F100" s="166"/>
      <c r="G100" s="166">
        <f>SUM(G101,G106,G108)</f>
        <v>72131</v>
      </c>
      <c r="H100" s="190">
        <f t="shared" si="1"/>
        <v>576716</v>
      </c>
    </row>
    <row r="101" spans="1:8" ht="16.5" customHeight="1">
      <c r="A101" s="125"/>
      <c r="B101" s="142">
        <v>85201</v>
      </c>
      <c r="C101" s="127"/>
      <c r="D101" s="128" t="s">
        <v>86</v>
      </c>
      <c r="E101" s="129">
        <f>SUM(E102:E105)</f>
        <v>495316</v>
      </c>
      <c r="F101" s="129"/>
      <c r="G101" s="129"/>
      <c r="H101" s="130">
        <f t="shared" si="1"/>
        <v>495316</v>
      </c>
    </row>
    <row r="102" spans="1:8" ht="18" customHeight="1">
      <c r="A102" s="125"/>
      <c r="B102" s="131"/>
      <c r="C102" s="144" t="s">
        <v>19</v>
      </c>
      <c r="D102" s="133" t="s">
        <v>20</v>
      </c>
      <c r="E102" s="134">
        <v>6266</v>
      </c>
      <c r="F102" s="134"/>
      <c r="G102" s="134"/>
      <c r="H102" s="135">
        <f t="shared" si="1"/>
        <v>6266</v>
      </c>
    </row>
    <row r="103" spans="1:8" ht="16.5" customHeight="1">
      <c r="A103" s="125"/>
      <c r="B103" s="131"/>
      <c r="C103" s="144" t="s">
        <v>21</v>
      </c>
      <c r="D103" s="133" t="s">
        <v>22</v>
      </c>
      <c r="E103" s="134">
        <v>7500</v>
      </c>
      <c r="F103" s="134"/>
      <c r="G103" s="134"/>
      <c r="H103" s="135">
        <f t="shared" si="1"/>
        <v>7500</v>
      </c>
    </row>
    <row r="104" spans="1:8" ht="16.5" customHeight="1">
      <c r="A104" s="125"/>
      <c r="B104" s="131"/>
      <c r="C104" s="144" t="s">
        <v>25</v>
      </c>
      <c r="D104" s="133" t="s">
        <v>26</v>
      </c>
      <c r="E104" s="134">
        <v>100</v>
      </c>
      <c r="F104" s="134"/>
      <c r="G104" s="134"/>
      <c r="H104" s="135">
        <f t="shared" si="1"/>
        <v>100</v>
      </c>
    </row>
    <row r="105" spans="1:8" ht="51">
      <c r="A105" s="125"/>
      <c r="B105" s="131"/>
      <c r="C105" s="144">
        <v>2320</v>
      </c>
      <c r="D105" s="133" t="s">
        <v>87</v>
      </c>
      <c r="E105" s="134">
        <f>481450</f>
        <v>481450</v>
      </c>
      <c r="F105" s="134"/>
      <c r="G105" s="134"/>
      <c r="H105" s="135">
        <f t="shared" si="1"/>
        <v>481450</v>
      </c>
    </row>
    <row r="106" spans="1:8" ht="17.25" customHeight="1">
      <c r="A106" s="125"/>
      <c r="B106" s="142">
        <v>85204</v>
      </c>
      <c r="C106" s="127"/>
      <c r="D106" s="128" t="s">
        <v>88</v>
      </c>
      <c r="E106" s="129">
        <f>SUM(E107:E107)</f>
        <v>81400</v>
      </c>
      <c r="F106" s="129"/>
      <c r="G106" s="129"/>
      <c r="H106" s="130">
        <f t="shared" si="1"/>
        <v>81400</v>
      </c>
    </row>
    <row r="107" spans="1:8" ht="51">
      <c r="A107" s="125"/>
      <c r="B107" s="131"/>
      <c r="C107" s="144">
        <v>2320</v>
      </c>
      <c r="D107" s="133" t="s">
        <v>87</v>
      </c>
      <c r="E107" s="134">
        <v>81400</v>
      </c>
      <c r="F107" s="134"/>
      <c r="G107" s="134"/>
      <c r="H107" s="135">
        <f t="shared" si="1"/>
        <v>81400</v>
      </c>
    </row>
    <row r="108" spans="1:8" ht="17.25" customHeight="1">
      <c r="A108" s="125"/>
      <c r="B108" s="142">
        <v>85218</v>
      </c>
      <c r="C108" s="127"/>
      <c r="D108" s="128" t="s">
        <v>223</v>
      </c>
      <c r="E108" s="129">
        <f>SUM(E109:E109)</f>
        <v>72131</v>
      </c>
      <c r="F108" s="129"/>
      <c r="G108" s="129">
        <f>SUM(G109:G109)</f>
        <v>72131</v>
      </c>
      <c r="H108" s="130">
        <f>E108+F108-G108</f>
        <v>0</v>
      </c>
    </row>
    <row r="109" spans="1:8" ht="39" customHeight="1">
      <c r="A109" s="156"/>
      <c r="B109" s="157"/>
      <c r="C109" s="158">
        <v>2710</v>
      </c>
      <c r="D109" s="159" t="s">
        <v>225</v>
      </c>
      <c r="E109" s="160">
        <v>72131</v>
      </c>
      <c r="F109" s="160"/>
      <c r="G109" s="160">
        <v>72131</v>
      </c>
      <c r="H109" s="161">
        <f>E109+F109-G109</f>
        <v>0</v>
      </c>
    </row>
    <row r="110" spans="1:8" ht="25.5">
      <c r="A110" s="169">
        <v>853</v>
      </c>
      <c r="B110" s="163"/>
      <c r="C110" s="164"/>
      <c r="D110" s="165" t="s">
        <v>89</v>
      </c>
      <c r="E110" s="166">
        <f>SUM(E113,E115,E117)</f>
        <v>309120</v>
      </c>
      <c r="F110" s="166">
        <f>SUM(F113,F115,F117)+F111</f>
        <v>72131</v>
      </c>
      <c r="G110" s="170"/>
      <c r="H110" s="190">
        <f t="shared" si="1"/>
        <v>381251</v>
      </c>
    </row>
    <row r="111" spans="1:8" ht="25.5">
      <c r="A111" s="125"/>
      <c r="B111" s="142">
        <v>85311</v>
      </c>
      <c r="C111" s="127"/>
      <c r="D111" s="251" t="s">
        <v>196</v>
      </c>
      <c r="E111" s="129">
        <f>SUM(E112)</f>
        <v>0</v>
      </c>
      <c r="F111" s="129">
        <f>SUM(F112)</f>
        <v>72131</v>
      </c>
      <c r="G111" s="129"/>
      <c r="H111" s="130">
        <f>E111+F111-G111</f>
        <v>72131</v>
      </c>
    </row>
    <row r="112" spans="1:8" ht="39" customHeight="1">
      <c r="A112" s="125"/>
      <c r="B112" s="131"/>
      <c r="C112" s="144">
        <v>2710</v>
      </c>
      <c r="D112" s="133" t="s">
        <v>225</v>
      </c>
      <c r="E112" s="134"/>
      <c r="F112" s="134">
        <v>72131</v>
      </c>
      <c r="G112" s="134"/>
      <c r="H112" s="135">
        <f>E112+F112-G112</f>
        <v>72131</v>
      </c>
    </row>
    <row r="113" spans="1:8" ht="25.5">
      <c r="A113" s="125"/>
      <c r="B113" s="142">
        <v>85321</v>
      </c>
      <c r="C113" s="127"/>
      <c r="D113" s="128" t="s">
        <v>90</v>
      </c>
      <c r="E113" s="129">
        <f>SUM(E114)</f>
        <v>91600</v>
      </c>
      <c r="F113" s="129"/>
      <c r="G113" s="129"/>
      <c r="H113" s="130">
        <f t="shared" si="1"/>
        <v>91600</v>
      </c>
    </row>
    <row r="114" spans="1:8" ht="51">
      <c r="A114" s="125"/>
      <c r="B114" s="131"/>
      <c r="C114" s="132">
        <v>2110</v>
      </c>
      <c r="D114" s="133" t="s">
        <v>9</v>
      </c>
      <c r="E114" s="134">
        <v>91600</v>
      </c>
      <c r="F114" s="134"/>
      <c r="G114" s="134"/>
      <c r="H114" s="135">
        <f t="shared" si="1"/>
        <v>91600</v>
      </c>
    </row>
    <row r="115" spans="1:8" ht="25.5">
      <c r="A115" s="125"/>
      <c r="B115" s="142">
        <v>85324</v>
      </c>
      <c r="C115" s="127"/>
      <c r="D115" s="154" t="s">
        <v>91</v>
      </c>
      <c r="E115" s="129">
        <f>SUM(E116)</f>
        <v>40000</v>
      </c>
      <c r="F115" s="129"/>
      <c r="G115" s="129"/>
      <c r="H115" s="130">
        <f t="shared" si="1"/>
        <v>40000</v>
      </c>
    </row>
    <row r="116" spans="1:8" ht="12.75">
      <c r="A116" s="125"/>
      <c r="B116" s="131"/>
      <c r="C116" s="144" t="s">
        <v>25</v>
      </c>
      <c r="D116" s="155" t="s">
        <v>26</v>
      </c>
      <c r="E116" s="134">
        <v>40000</v>
      </c>
      <c r="F116" s="134"/>
      <c r="G116" s="134"/>
      <c r="H116" s="135">
        <f t="shared" si="1"/>
        <v>40000</v>
      </c>
    </row>
    <row r="117" spans="1:8" ht="16.5" customHeight="1">
      <c r="A117" s="125"/>
      <c r="B117" s="142">
        <v>85333</v>
      </c>
      <c r="C117" s="127"/>
      <c r="D117" s="128" t="s">
        <v>92</v>
      </c>
      <c r="E117" s="129">
        <f>SUM(E118:E120)</f>
        <v>177520</v>
      </c>
      <c r="F117" s="129"/>
      <c r="G117" s="129"/>
      <c r="H117" s="130">
        <f t="shared" si="1"/>
        <v>177520</v>
      </c>
    </row>
    <row r="118" spans="1:8" ht="69" customHeight="1">
      <c r="A118" s="125"/>
      <c r="B118" s="131"/>
      <c r="C118" s="144">
        <v>2690</v>
      </c>
      <c r="D118" s="155" t="s">
        <v>93</v>
      </c>
      <c r="E118" s="134">
        <v>165823</v>
      </c>
      <c r="F118" s="134"/>
      <c r="G118" s="134"/>
      <c r="H118" s="135">
        <f t="shared" si="1"/>
        <v>165823</v>
      </c>
    </row>
    <row r="119" spans="1:8" ht="39.75" customHeight="1">
      <c r="A119" s="182"/>
      <c r="B119" s="183"/>
      <c r="C119" s="184">
        <v>2708</v>
      </c>
      <c r="D119" s="185" t="s">
        <v>224</v>
      </c>
      <c r="E119" s="186">
        <v>11547</v>
      </c>
      <c r="F119" s="186"/>
      <c r="G119" s="186"/>
      <c r="H119" s="187"/>
    </row>
    <row r="120" spans="1:8" ht="16.5" customHeight="1">
      <c r="A120" s="156"/>
      <c r="B120" s="157"/>
      <c r="C120" s="158" t="s">
        <v>25</v>
      </c>
      <c r="D120" s="159" t="s">
        <v>26</v>
      </c>
      <c r="E120" s="160">
        <v>150</v>
      </c>
      <c r="F120" s="160"/>
      <c r="G120" s="160"/>
      <c r="H120" s="161">
        <f t="shared" si="1"/>
        <v>150</v>
      </c>
    </row>
    <row r="121" spans="1:8" ht="12.75">
      <c r="A121" s="169">
        <v>854</v>
      </c>
      <c r="B121" s="163"/>
      <c r="C121" s="164"/>
      <c r="D121" s="165" t="s">
        <v>94</v>
      </c>
      <c r="E121" s="166">
        <f>SUM(E122,E127,E129,E132)</f>
        <v>319592</v>
      </c>
      <c r="F121" s="166"/>
      <c r="G121" s="170"/>
      <c r="H121" s="190">
        <f t="shared" si="1"/>
        <v>319592</v>
      </c>
    </row>
    <row r="122" spans="1:8" ht="12.75">
      <c r="A122" s="125"/>
      <c r="B122" s="131">
        <v>85403</v>
      </c>
      <c r="C122" s="132"/>
      <c r="D122" s="133" t="s">
        <v>95</v>
      </c>
      <c r="E122" s="134">
        <f>SUM(E123:E126)</f>
        <v>135672</v>
      </c>
      <c r="F122" s="134"/>
      <c r="G122" s="134"/>
      <c r="H122" s="135">
        <f t="shared" si="1"/>
        <v>135672</v>
      </c>
    </row>
    <row r="123" spans="1:8" ht="19.5" customHeight="1">
      <c r="A123" s="125"/>
      <c r="B123" s="131"/>
      <c r="C123" s="144" t="s">
        <v>19</v>
      </c>
      <c r="D123" s="133" t="s">
        <v>20</v>
      </c>
      <c r="E123" s="134">
        <v>194</v>
      </c>
      <c r="F123" s="134"/>
      <c r="G123" s="134"/>
      <c r="H123" s="135">
        <f t="shared" si="1"/>
        <v>194</v>
      </c>
    </row>
    <row r="124" spans="1:8" ht="50.25" customHeight="1">
      <c r="A124" s="125"/>
      <c r="B124" s="131"/>
      <c r="C124" s="144" t="s">
        <v>30</v>
      </c>
      <c r="D124" s="133" t="s">
        <v>31</v>
      </c>
      <c r="E124" s="134">
        <v>1757</v>
      </c>
      <c r="F124" s="134"/>
      <c r="G124" s="134"/>
      <c r="H124" s="135">
        <f t="shared" si="1"/>
        <v>1757</v>
      </c>
    </row>
    <row r="125" spans="1:8" ht="19.5" customHeight="1">
      <c r="A125" s="125"/>
      <c r="B125" s="131"/>
      <c r="C125" s="144" t="s">
        <v>21</v>
      </c>
      <c r="D125" s="133" t="s">
        <v>22</v>
      </c>
      <c r="E125" s="134">
        <v>133671</v>
      </c>
      <c r="F125" s="134"/>
      <c r="G125" s="134"/>
      <c r="H125" s="135">
        <f t="shared" si="1"/>
        <v>133671</v>
      </c>
    </row>
    <row r="126" spans="1:8" ht="19.5" customHeight="1">
      <c r="A126" s="125"/>
      <c r="B126" s="131"/>
      <c r="C126" s="144" t="s">
        <v>55</v>
      </c>
      <c r="D126" s="133" t="s">
        <v>56</v>
      </c>
      <c r="E126" s="134">
        <v>50</v>
      </c>
      <c r="F126" s="134"/>
      <c r="G126" s="134"/>
      <c r="H126" s="135">
        <f t="shared" si="1"/>
        <v>50</v>
      </c>
    </row>
    <row r="127" spans="1:8" ht="25.5">
      <c r="A127" s="125"/>
      <c r="B127" s="142">
        <v>85406</v>
      </c>
      <c r="C127" s="150"/>
      <c r="D127" s="128" t="s">
        <v>96</v>
      </c>
      <c r="E127" s="129">
        <f>SUM(E128)</f>
        <v>70</v>
      </c>
      <c r="F127" s="129"/>
      <c r="G127" s="129"/>
      <c r="H127" s="130">
        <f t="shared" si="1"/>
        <v>70</v>
      </c>
    </row>
    <row r="128" spans="1:8" ht="16.5" customHeight="1">
      <c r="A128" s="125"/>
      <c r="B128" s="131"/>
      <c r="C128" s="144" t="s">
        <v>25</v>
      </c>
      <c r="D128" s="133" t="s">
        <v>26</v>
      </c>
      <c r="E128" s="134">
        <f>30+40</f>
        <v>70</v>
      </c>
      <c r="F128" s="134"/>
      <c r="G128" s="134"/>
      <c r="H128" s="135">
        <f t="shared" si="1"/>
        <v>70</v>
      </c>
    </row>
    <row r="129" spans="1:8" ht="16.5" customHeight="1">
      <c r="A129" s="125"/>
      <c r="B129" s="142">
        <v>85407</v>
      </c>
      <c r="C129" s="127"/>
      <c r="D129" s="128" t="s">
        <v>97</v>
      </c>
      <c r="E129" s="129">
        <f>SUM(E130:E131)</f>
        <v>275</v>
      </c>
      <c r="F129" s="129"/>
      <c r="G129" s="129"/>
      <c r="H129" s="130">
        <f t="shared" si="1"/>
        <v>275</v>
      </c>
    </row>
    <row r="130" spans="1:8" ht="51">
      <c r="A130" s="125"/>
      <c r="B130" s="131"/>
      <c r="C130" s="144" t="s">
        <v>30</v>
      </c>
      <c r="D130" s="133" t="s">
        <v>31</v>
      </c>
      <c r="E130" s="134">
        <v>250</v>
      </c>
      <c r="F130" s="134"/>
      <c r="G130" s="134"/>
      <c r="H130" s="135">
        <f t="shared" si="1"/>
        <v>250</v>
      </c>
    </row>
    <row r="131" spans="1:8" ht="16.5" customHeight="1">
      <c r="A131" s="125"/>
      <c r="B131" s="131"/>
      <c r="C131" s="144" t="s">
        <v>25</v>
      </c>
      <c r="D131" s="133" t="s">
        <v>26</v>
      </c>
      <c r="E131" s="134">
        <v>25</v>
      </c>
      <c r="F131" s="134"/>
      <c r="G131" s="134"/>
      <c r="H131" s="135">
        <f t="shared" si="1"/>
        <v>25</v>
      </c>
    </row>
    <row r="132" spans="1:8" ht="16.5" customHeight="1">
      <c r="A132" s="125"/>
      <c r="B132" s="142">
        <v>85410</v>
      </c>
      <c r="C132" s="127"/>
      <c r="D132" s="128" t="s">
        <v>98</v>
      </c>
      <c r="E132" s="129">
        <f>SUM(E133:E135)</f>
        <v>183575</v>
      </c>
      <c r="F132" s="129"/>
      <c r="G132" s="129"/>
      <c r="H132" s="130">
        <f t="shared" si="1"/>
        <v>183575</v>
      </c>
    </row>
    <row r="133" spans="1:8" ht="51">
      <c r="A133" s="125"/>
      <c r="B133" s="131"/>
      <c r="C133" s="144" t="s">
        <v>30</v>
      </c>
      <c r="D133" s="133" t="s">
        <v>31</v>
      </c>
      <c r="E133" s="134">
        <f>74357+18550</f>
        <v>92907</v>
      </c>
      <c r="F133" s="134"/>
      <c r="G133" s="134"/>
      <c r="H133" s="135">
        <f t="shared" si="1"/>
        <v>92907</v>
      </c>
    </row>
    <row r="134" spans="1:8" ht="16.5" customHeight="1">
      <c r="A134" s="156"/>
      <c r="B134" s="157"/>
      <c r="C134" s="158" t="s">
        <v>21</v>
      </c>
      <c r="D134" s="159" t="s">
        <v>22</v>
      </c>
      <c r="E134" s="160">
        <f>19088+71580</f>
        <v>90668</v>
      </c>
      <c r="F134" s="160"/>
      <c r="G134" s="160"/>
      <c r="H134" s="161">
        <f t="shared" si="1"/>
        <v>90668</v>
      </c>
    </row>
    <row r="135" spans="1:8" ht="12.75" hidden="1">
      <c r="A135" s="109"/>
      <c r="B135" s="11"/>
      <c r="C135" s="108" t="s">
        <v>99</v>
      </c>
      <c r="D135" s="23" t="s">
        <v>56</v>
      </c>
      <c r="E135" s="30"/>
      <c r="F135" s="24"/>
      <c r="G135" s="24"/>
      <c r="H135" s="34">
        <f t="shared" si="1"/>
        <v>0</v>
      </c>
    </row>
    <row r="136" spans="1:8" ht="26.25" customHeight="1">
      <c r="A136" s="110"/>
      <c r="B136" s="8"/>
      <c r="C136" s="111"/>
      <c r="D136" s="9" t="s">
        <v>52</v>
      </c>
      <c r="E136" s="113">
        <f>SUM(E9,E17,E24,E29,E37,E54,E67,E73,E82,E97,E100,E121,E110,E14)</f>
        <v>35703930</v>
      </c>
      <c r="F136" s="10">
        <f>SUM(F9,F17,F24,F29,F37,F54,F67,F73,F82,F97,F100,F121,F110,F14)</f>
        <v>233143</v>
      </c>
      <c r="G136" s="10">
        <f>SUM(G9,G17,G24,G29,G37,G54,G67,G73,G82,G97,G100,G121,G110,G14)</f>
        <v>147431</v>
      </c>
      <c r="H136" s="112">
        <f>SUM(H9,H17,H24,H29,H37,H54,H67,H73,H82,H97,H100,H121,H110,H14)</f>
        <v>35789642</v>
      </c>
    </row>
    <row r="137" spans="1:5" ht="12.75">
      <c r="A137" s="27"/>
      <c r="B137" s="28"/>
      <c r="C137" s="28"/>
      <c r="D137" s="29"/>
      <c r="E137" s="30"/>
    </row>
  </sheetData>
  <mergeCells count="9">
    <mergeCell ref="C7:D7"/>
    <mergeCell ref="E1:F1"/>
    <mergeCell ref="E2:F2"/>
    <mergeCell ref="D3:F3"/>
    <mergeCell ref="E4:F4"/>
    <mergeCell ref="A6:H6"/>
    <mergeCell ref="G2:I2"/>
    <mergeCell ref="G3:I3"/>
    <mergeCell ref="G4:I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&amp;CStrona &amp;P z &amp;N</oddFooter>
  </headerFooter>
  <rowBreaks count="1" manualBreakCount="1">
    <brk id="89" max="1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5"/>
  <sheetViews>
    <sheetView workbookViewId="0" topLeftCell="D1">
      <selection activeCell="K1" sqref="K1:M4"/>
    </sheetView>
  </sheetViews>
  <sheetFormatPr defaultColWidth="9.140625" defaultRowHeight="12.75"/>
  <cols>
    <col min="1" max="1" width="6.00390625" style="105" customWidth="1"/>
    <col min="2" max="2" width="6.421875" style="105" customWidth="1"/>
    <col min="3" max="3" width="26.8515625" style="106" customWidth="1"/>
    <col min="4" max="4" width="2.7109375" style="106" customWidth="1"/>
    <col min="5" max="5" width="12.28125" style="106" customWidth="1"/>
    <col min="6" max="6" width="11.28125" style="106" customWidth="1"/>
    <col min="7" max="7" width="13.57421875" style="106" customWidth="1"/>
    <col min="8" max="8" width="12.140625" style="106" customWidth="1"/>
    <col min="9" max="9" width="11.28125" style="106" customWidth="1"/>
    <col min="10" max="10" width="14.7109375" style="106" customWidth="1"/>
    <col min="11" max="11" width="12.140625" style="106" customWidth="1"/>
    <col min="12" max="12" width="11.00390625" style="106" customWidth="1"/>
    <col min="13" max="13" width="11.57421875" style="106" customWidth="1"/>
    <col min="14" max="16" width="0" style="26" hidden="1" customWidth="1"/>
    <col min="17" max="16384" width="9.140625" style="26" customWidth="1"/>
  </cols>
  <sheetData>
    <row r="1" spans="1:13" ht="12.75">
      <c r="A1" s="35"/>
      <c r="B1" s="35"/>
      <c r="C1" s="36"/>
      <c r="D1" s="36"/>
      <c r="E1" s="36"/>
      <c r="F1" s="36"/>
      <c r="G1" s="36"/>
      <c r="H1" s="37"/>
      <c r="I1" s="36"/>
      <c r="J1" s="36"/>
      <c r="K1" s="37" t="s">
        <v>106</v>
      </c>
      <c r="L1" s="38"/>
      <c r="M1" s="38"/>
    </row>
    <row r="2" spans="1:13" ht="13.5">
      <c r="A2" s="35"/>
      <c r="B2" s="35"/>
      <c r="C2" s="39"/>
      <c r="D2" s="36"/>
      <c r="E2" s="36"/>
      <c r="F2" s="36"/>
      <c r="G2" s="40"/>
      <c r="H2" s="37"/>
      <c r="I2" s="36"/>
      <c r="J2" s="40"/>
      <c r="K2" s="320" t="s">
        <v>318</v>
      </c>
      <c r="L2" s="320"/>
      <c r="M2" s="320"/>
    </row>
    <row r="3" spans="1:13" ht="13.5">
      <c r="A3" s="35"/>
      <c r="B3" s="35"/>
      <c r="C3" s="39"/>
      <c r="D3" s="36"/>
      <c r="E3" s="36"/>
      <c r="F3" s="36"/>
      <c r="G3" s="40"/>
      <c r="H3" s="37"/>
      <c r="I3" s="36"/>
      <c r="J3" s="40"/>
      <c r="K3" s="320" t="s">
        <v>229</v>
      </c>
      <c r="L3" s="320"/>
      <c r="M3" s="320"/>
    </row>
    <row r="4" spans="1:13" ht="13.5">
      <c r="A4" s="35"/>
      <c r="B4" s="35"/>
      <c r="C4" s="39"/>
      <c r="D4" s="36"/>
      <c r="E4" s="36"/>
      <c r="F4" s="36"/>
      <c r="G4" s="40"/>
      <c r="H4" s="37"/>
      <c r="I4" s="36"/>
      <c r="J4" s="40"/>
      <c r="K4" s="320" t="s">
        <v>319</v>
      </c>
      <c r="L4" s="320"/>
      <c r="M4" s="320"/>
    </row>
    <row r="5" spans="1:13" ht="15">
      <c r="A5" s="35"/>
      <c r="B5" s="35"/>
      <c r="C5" s="39"/>
      <c r="D5" s="36"/>
      <c r="E5" s="36"/>
      <c r="F5" s="36"/>
      <c r="G5" s="40"/>
      <c r="H5" s="7"/>
      <c r="I5" s="36"/>
      <c r="J5" s="40"/>
      <c r="K5" s="7"/>
      <c r="L5" s="7"/>
      <c r="M5" s="7"/>
    </row>
    <row r="6" spans="1:13" ht="18">
      <c r="A6" s="375" t="s">
        <v>107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</row>
    <row r="7" spans="1:13" ht="12.75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75" customHeight="1">
      <c r="A8" s="360" t="s">
        <v>108</v>
      </c>
      <c r="B8" s="360" t="s">
        <v>109</v>
      </c>
      <c r="C8" s="363" t="s">
        <v>110</v>
      </c>
      <c r="D8" s="364"/>
      <c r="E8" s="351" t="s">
        <v>111</v>
      </c>
      <c r="F8" s="41" t="s">
        <v>112</v>
      </c>
      <c r="G8" s="42"/>
      <c r="H8" s="42"/>
      <c r="I8" s="41" t="s">
        <v>113</v>
      </c>
      <c r="J8" s="42"/>
      <c r="K8" s="42"/>
      <c r="L8" s="42"/>
      <c r="M8" s="351" t="s">
        <v>114</v>
      </c>
    </row>
    <row r="9" spans="1:13" ht="12.75" customHeight="1">
      <c r="A9" s="361"/>
      <c r="B9" s="361"/>
      <c r="C9" s="365"/>
      <c r="D9" s="366"/>
      <c r="E9" s="352"/>
      <c r="F9" s="354" t="s">
        <v>115</v>
      </c>
      <c r="G9" s="354" t="s">
        <v>116</v>
      </c>
      <c r="H9" s="354" t="s">
        <v>117</v>
      </c>
      <c r="I9" s="357" t="s">
        <v>118</v>
      </c>
      <c r="J9" s="41" t="s">
        <v>119</v>
      </c>
      <c r="K9" s="43"/>
      <c r="L9" s="43"/>
      <c r="M9" s="352"/>
    </row>
    <row r="10" spans="1:13" ht="12.75" customHeight="1">
      <c r="A10" s="361"/>
      <c r="B10" s="361"/>
      <c r="C10" s="367"/>
      <c r="D10" s="368"/>
      <c r="E10" s="352"/>
      <c r="F10" s="355"/>
      <c r="G10" s="355"/>
      <c r="H10" s="355"/>
      <c r="I10" s="358"/>
      <c r="J10" s="351" t="s">
        <v>120</v>
      </c>
      <c r="K10" s="351" t="s">
        <v>121</v>
      </c>
      <c r="L10" s="357" t="s">
        <v>122</v>
      </c>
      <c r="M10" s="352"/>
    </row>
    <row r="11" spans="1:13" ht="12.75">
      <c r="A11" s="361"/>
      <c r="B11" s="361"/>
      <c r="C11" s="369" t="s">
        <v>123</v>
      </c>
      <c r="D11" s="370"/>
      <c r="E11" s="352"/>
      <c r="F11" s="355"/>
      <c r="G11" s="355"/>
      <c r="H11" s="355"/>
      <c r="I11" s="358"/>
      <c r="J11" s="352"/>
      <c r="K11" s="352"/>
      <c r="L11" s="358"/>
      <c r="M11" s="352"/>
    </row>
    <row r="12" spans="1:13" ht="12.75">
      <c r="A12" s="361"/>
      <c r="B12" s="361"/>
      <c r="C12" s="369" t="s">
        <v>124</v>
      </c>
      <c r="D12" s="370"/>
      <c r="E12" s="352"/>
      <c r="F12" s="355"/>
      <c r="G12" s="355"/>
      <c r="H12" s="355"/>
      <c r="I12" s="358"/>
      <c r="J12" s="352"/>
      <c r="K12" s="352"/>
      <c r="L12" s="358"/>
      <c r="M12" s="352"/>
    </row>
    <row r="13" spans="1:13" ht="12.75">
      <c r="A13" s="361"/>
      <c r="B13" s="361"/>
      <c r="C13" s="369" t="s">
        <v>125</v>
      </c>
      <c r="D13" s="370"/>
      <c r="E13" s="352"/>
      <c r="F13" s="355"/>
      <c r="G13" s="355"/>
      <c r="H13" s="355"/>
      <c r="I13" s="358"/>
      <c r="J13" s="352"/>
      <c r="K13" s="352"/>
      <c r="L13" s="358"/>
      <c r="M13" s="352"/>
    </row>
    <row r="14" spans="1:13" ht="12.75">
      <c r="A14" s="361"/>
      <c r="B14" s="361"/>
      <c r="C14" s="371" t="s">
        <v>126</v>
      </c>
      <c r="D14" s="372"/>
      <c r="E14" s="352"/>
      <c r="F14" s="355"/>
      <c r="G14" s="355"/>
      <c r="H14" s="355"/>
      <c r="I14" s="358"/>
      <c r="J14" s="352"/>
      <c r="K14" s="352"/>
      <c r="L14" s="358"/>
      <c r="M14" s="352"/>
    </row>
    <row r="15" spans="1:13" ht="12.75">
      <c r="A15" s="362"/>
      <c r="B15" s="362"/>
      <c r="C15" s="373"/>
      <c r="D15" s="374"/>
      <c r="E15" s="353"/>
      <c r="F15" s="356"/>
      <c r="G15" s="356"/>
      <c r="H15" s="356"/>
      <c r="I15" s="359"/>
      <c r="J15" s="353"/>
      <c r="K15" s="353"/>
      <c r="L15" s="359"/>
      <c r="M15" s="353"/>
    </row>
    <row r="16" spans="1:13" ht="20.25" customHeight="1">
      <c r="A16" s="44" t="s">
        <v>5</v>
      </c>
      <c r="B16" s="45"/>
      <c r="C16" s="46" t="s">
        <v>6</v>
      </c>
      <c r="D16" s="47" t="s">
        <v>127</v>
      </c>
      <c r="E16" s="48">
        <f>SUM(E20,E24)</f>
        <v>29000</v>
      </c>
      <c r="F16" s="48">
        <f>SUM(F20,F24)</f>
        <v>23000</v>
      </c>
      <c r="G16" s="48"/>
      <c r="H16" s="48">
        <f>SUM(H20,H24)</f>
        <v>6000</v>
      </c>
      <c r="I16" s="48">
        <f>SUM(I20,I24)</f>
        <v>29000</v>
      </c>
      <c r="J16" s="48"/>
      <c r="K16" s="48">
        <f>SUM(K20,K24)</f>
        <v>29000</v>
      </c>
      <c r="L16" s="48"/>
      <c r="M16" s="48"/>
    </row>
    <row r="17" spans="1:14" ht="20.25" customHeight="1">
      <c r="A17" s="49"/>
      <c r="B17" s="49"/>
      <c r="C17" s="50"/>
      <c r="D17" s="51" t="s">
        <v>128</v>
      </c>
      <c r="E17" s="48"/>
      <c r="F17" s="48"/>
      <c r="G17" s="52"/>
      <c r="H17" s="48"/>
      <c r="I17" s="48"/>
      <c r="J17" s="53"/>
      <c r="K17" s="48"/>
      <c r="L17" s="53"/>
      <c r="M17" s="53"/>
      <c r="N17" s="54"/>
    </row>
    <row r="18" spans="1:17" ht="20.25" customHeight="1">
      <c r="A18" s="49"/>
      <c r="B18" s="49"/>
      <c r="C18" s="50"/>
      <c r="D18" s="51" t="s">
        <v>129</v>
      </c>
      <c r="E18" s="48">
        <f>SUM(E22,E26)</f>
        <v>6000</v>
      </c>
      <c r="F18" s="48"/>
      <c r="G18" s="52"/>
      <c r="H18" s="48">
        <f>SUM(H22,H26)</f>
        <v>6000</v>
      </c>
      <c r="I18" s="48">
        <f>SUM(I22,I26)</f>
        <v>6000</v>
      </c>
      <c r="J18" s="53"/>
      <c r="K18" s="48">
        <f>SUM(K22,K26)</f>
        <v>6000</v>
      </c>
      <c r="L18" s="53"/>
      <c r="M18" s="53"/>
      <c r="N18" s="54"/>
      <c r="Q18" s="26" t="s">
        <v>130</v>
      </c>
    </row>
    <row r="19" spans="1:14" ht="20.25" customHeight="1">
      <c r="A19" s="55"/>
      <c r="B19" s="55"/>
      <c r="C19" s="56"/>
      <c r="D19" s="51" t="s">
        <v>131</v>
      </c>
      <c r="E19" s="52">
        <f>SUM(E23,E27,)</f>
        <v>23000</v>
      </c>
      <c r="F19" s="52">
        <f aca="true" t="shared" si="0" ref="F19:K19">SUM(F23,F27)</f>
        <v>23000</v>
      </c>
      <c r="G19" s="52"/>
      <c r="H19" s="52">
        <f t="shared" si="0"/>
        <v>0</v>
      </c>
      <c r="I19" s="52">
        <f t="shared" si="0"/>
        <v>23000</v>
      </c>
      <c r="J19" s="52"/>
      <c r="K19" s="52">
        <f t="shared" si="0"/>
        <v>23000</v>
      </c>
      <c r="L19" s="52"/>
      <c r="M19" s="52"/>
      <c r="N19" s="54"/>
    </row>
    <row r="20" spans="1:14" ht="20.25" customHeight="1">
      <c r="A20" s="49"/>
      <c r="B20" s="49" t="s">
        <v>7</v>
      </c>
      <c r="C20" s="343" t="s">
        <v>132</v>
      </c>
      <c r="D20" s="51" t="s">
        <v>127</v>
      </c>
      <c r="E20" s="53">
        <f>SUM(I20,M20)</f>
        <v>23000</v>
      </c>
      <c r="F20" s="53">
        <v>23000</v>
      </c>
      <c r="G20" s="53"/>
      <c r="H20" s="53"/>
      <c r="I20" s="53">
        <f>SUM(J20,K20,L20)</f>
        <v>23000</v>
      </c>
      <c r="J20" s="53"/>
      <c r="K20" s="53">
        <v>23000</v>
      </c>
      <c r="L20" s="53"/>
      <c r="M20" s="53"/>
      <c r="N20" s="54"/>
    </row>
    <row r="21" spans="1:14" ht="20.25" customHeight="1">
      <c r="A21" s="49"/>
      <c r="B21" s="49"/>
      <c r="C21" s="344"/>
      <c r="D21" s="51" t="s">
        <v>128</v>
      </c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20.25" customHeight="1">
      <c r="A22" s="49"/>
      <c r="B22" s="49"/>
      <c r="C22" s="344"/>
      <c r="D22" s="51" t="s">
        <v>129</v>
      </c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ht="20.25" customHeight="1">
      <c r="A23" s="55"/>
      <c r="B23" s="55"/>
      <c r="C23" s="345"/>
      <c r="D23" s="51" t="s">
        <v>131</v>
      </c>
      <c r="E23" s="53">
        <f>SUM(E20,E21)-E22</f>
        <v>23000</v>
      </c>
      <c r="F23" s="53">
        <f>F20+F21-F22</f>
        <v>23000</v>
      </c>
      <c r="G23" s="53"/>
      <c r="H23" s="53"/>
      <c r="I23" s="53">
        <f>SUM(I20,I21)-I22</f>
        <v>23000</v>
      </c>
      <c r="J23" s="53"/>
      <c r="K23" s="53">
        <f>SUM(K20,K21)-K22</f>
        <v>23000</v>
      </c>
      <c r="L23" s="53"/>
      <c r="M23" s="53"/>
      <c r="N23" s="54"/>
    </row>
    <row r="24" spans="1:14" ht="20.25" customHeight="1">
      <c r="A24" s="49"/>
      <c r="B24" s="49" t="s">
        <v>10</v>
      </c>
      <c r="C24" s="50" t="s">
        <v>133</v>
      </c>
      <c r="D24" s="51" t="s">
        <v>127</v>
      </c>
      <c r="E24" s="53">
        <f>SUM(I24,M24)</f>
        <v>6000</v>
      </c>
      <c r="F24" s="53"/>
      <c r="G24" s="53"/>
      <c r="H24" s="53">
        <v>6000</v>
      </c>
      <c r="I24" s="53">
        <f>SUM(J24:L24)</f>
        <v>6000</v>
      </c>
      <c r="J24" s="53"/>
      <c r="K24" s="53">
        <v>6000</v>
      </c>
      <c r="L24" s="53"/>
      <c r="M24" s="53"/>
      <c r="N24" s="54"/>
    </row>
    <row r="25" spans="1:14" ht="20.25" customHeight="1">
      <c r="A25" s="49"/>
      <c r="B25" s="49"/>
      <c r="C25" s="50"/>
      <c r="D25" s="51" t="s">
        <v>128</v>
      </c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20.25" customHeight="1">
      <c r="A26" s="49"/>
      <c r="B26" s="49"/>
      <c r="C26" s="50"/>
      <c r="D26" s="51" t="s">
        <v>129</v>
      </c>
      <c r="E26" s="53">
        <f>SUM(I26,M26)</f>
        <v>6000</v>
      </c>
      <c r="F26" s="53"/>
      <c r="G26" s="53"/>
      <c r="H26" s="53">
        <v>6000</v>
      </c>
      <c r="I26" s="53">
        <f>SUM(J26:L26)</f>
        <v>6000</v>
      </c>
      <c r="J26" s="53"/>
      <c r="K26" s="53">
        <v>6000</v>
      </c>
      <c r="L26" s="53"/>
      <c r="M26" s="53"/>
      <c r="N26" s="54"/>
    </row>
    <row r="27" spans="1:14" ht="20.25" customHeight="1">
      <c r="A27" s="49"/>
      <c r="B27" s="49"/>
      <c r="C27" s="50"/>
      <c r="D27" s="51" t="s">
        <v>131</v>
      </c>
      <c r="E27" s="53">
        <f>SUM(E24,E25)-E26</f>
        <v>0</v>
      </c>
      <c r="F27" s="53"/>
      <c r="G27" s="53"/>
      <c r="H27" s="53">
        <f>SUM(H24,H25)-H26</f>
        <v>0</v>
      </c>
      <c r="I27" s="53">
        <f>SUM(I24,I25)-I26</f>
        <v>0</v>
      </c>
      <c r="J27" s="53"/>
      <c r="K27" s="53">
        <f>SUM(K24,K25)-K26</f>
        <v>0</v>
      </c>
      <c r="L27" s="53"/>
      <c r="M27" s="53"/>
      <c r="N27" s="54"/>
    </row>
    <row r="28" spans="1:14" ht="20.25" customHeight="1">
      <c r="A28" s="57" t="s">
        <v>13</v>
      </c>
      <c r="B28" s="58"/>
      <c r="C28" s="59" t="s">
        <v>14</v>
      </c>
      <c r="D28" s="51" t="s">
        <v>127</v>
      </c>
      <c r="E28" s="52">
        <f>SUM(E32,E36)</f>
        <v>256074</v>
      </c>
      <c r="F28" s="52"/>
      <c r="G28" s="52"/>
      <c r="H28" s="52"/>
      <c r="I28" s="52">
        <f>SUM(I32,I36)</f>
        <v>256074</v>
      </c>
      <c r="J28" s="52"/>
      <c r="K28" s="52">
        <f>SUM(K32,K36)</f>
        <v>256074</v>
      </c>
      <c r="L28" s="52"/>
      <c r="M28" s="52"/>
      <c r="N28" s="54"/>
    </row>
    <row r="29" spans="1:14" ht="20.25" customHeight="1">
      <c r="A29" s="49"/>
      <c r="B29" s="49"/>
      <c r="C29" s="50"/>
      <c r="D29" s="51" t="s">
        <v>128</v>
      </c>
      <c r="E29" s="52"/>
      <c r="F29" s="53"/>
      <c r="G29" s="53"/>
      <c r="H29" s="53"/>
      <c r="I29" s="52"/>
      <c r="J29" s="53"/>
      <c r="K29" s="52"/>
      <c r="L29" s="52"/>
      <c r="M29" s="52"/>
      <c r="N29" s="54"/>
    </row>
    <row r="30" spans="1:14" ht="20.25" customHeight="1">
      <c r="A30" s="49"/>
      <c r="B30" s="49"/>
      <c r="C30" s="50"/>
      <c r="D30" s="51" t="s">
        <v>129</v>
      </c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1:14" ht="20.25" customHeight="1">
      <c r="A31" s="55"/>
      <c r="B31" s="55"/>
      <c r="C31" s="56"/>
      <c r="D31" s="51" t="s">
        <v>131</v>
      </c>
      <c r="E31" s="52">
        <f>SUM(E35,E39)</f>
        <v>256074</v>
      </c>
      <c r="F31" s="52"/>
      <c r="G31" s="52"/>
      <c r="H31" s="52"/>
      <c r="I31" s="52">
        <f>SUM(I35,I39)</f>
        <v>256074</v>
      </c>
      <c r="J31" s="52"/>
      <c r="K31" s="52">
        <f>SUM(K35,K39)</f>
        <v>256074</v>
      </c>
      <c r="L31" s="52"/>
      <c r="M31" s="52"/>
      <c r="N31" s="54"/>
    </row>
    <row r="32" spans="1:14" ht="20.25" customHeight="1">
      <c r="A32" s="58"/>
      <c r="B32" s="58" t="s">
        <v>15</v>
      </c>
      <c r="C32" s="60" t="s">
        <v>16</v>
      </c>
      <c r="D32" s="51" t="s">
        <v>127</v>
      </c>
      <c r="E32" s="53">
        <f>SUM(I32,M32)</f>
        <v>254074</v>
      </c>
      <c r="F32" s="53"/>
      <c r="G32" s="53"/>
      <c r="H32" s="53"/>
      <c r="I32" s="53">
        <f>SUM(J32,K32,L32)</f>
        <v>254074</v>
      </c>
      <c r="J32" s="53"/>
      <c r="K32" s="53">
        <v>254074</v>
      </c>
      <c r="L32" s="53"/>
      <c r="M32" s="53"/>
      <c r="N32" s="54"/>
    </row>
    <row r="33" spans="1:14" ht="20.25" customHeight="1">
      <c r="A33" s="49"/>
      <c r="B33" s="49"/>
      <c r="C33" s="50"/>
      <c r="D33" s="51" t="s">
        <v>128</v>
      </c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20.25" customHeight="1">
      <c r="A34" s="49"/>
      <c r="B34" s="49"/>
      <c r="C34" s="50"/>
      <c r="D34" s="51" t="s">
        <v>129</v>
      </c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20.25" customHeight="1">
      <c r="A35" s="55"/>
      <c r="B35" s="55"/>
      <c r="C35" s="56"/>
      <c r="D35" s="51" t="s">
        <v>131</v>
      </c>
      <c r="E35" s="53">
        <f>SUM(E32,E33)-E34</f>
        <v>254074</v>
      </c>
      <c r="F35" s="53"/>
      <c r="G35" s="53"/>
      <c r="H35" s="53"/>
      <c r="I35" s="53">
        <f>SUM(I32,I33)-I34</f>
        <v>254074</v>
      </c>
      <c r="J35" s="53"/>
      <c r="K35" s="53">
        <f>SUM(K32,K33)-K34</f>
        <v>254074</v>
      </c>
      <c r="L35" s="53"/>
      <c r="M35" s="53"/>
      <c r="N35" s="54"/>
    </row>
    <row r="36" spans="1:14" ht="20.25" customHeight="1">
      <c r="A36" s="58"/>
      <c r="B36" s="58" t="s">
        <v>134</v>
      </c>
      <c r="C36" s="346" t="s">
        <v>135</v>
      </c>
      <c r="D36" s="51" t="s">
        <v>127</v>
      </c>
      <c r="E36" s="53">
        <f>SUM(I36,M36)</f>
        <v>2000</v>
      </c>
      <c r="F36" s="53"/>
      <c r="G36" s="53"/>
      <c r="H36" s="53"/>
      <c r="I36" s="53">
        <f>SUM(J36,K36,L36)</f>
        <v>2000</v>
      </c>
      <c r="J36" s="53"/>
      <c r="K36" s="53">
        <v>2000</v>
      </c>
      <c r="L36" s="53"/>
      <c r="M36" s="53"/>
      <c r="N36" s="54"/>
    </row>
    <row r="37" spans="1:14" ht="20.25" customHeight="1">
      <c r="A37" s="49"/>
      <c r="B37" s="49"/>
      <c r="C37" s="347"/>
      <c r="D37" s="51" t="s">
        <v>128</v>
      </c>
      <c r="E37" s="61"/>
      <c r="F37" s="61"/>
      <c r="G37" s="61"/>
      <c r="H37" s="53"/>
      <c r="I37" s="61"/>
      <c r="J37" s="61"/>
      <c r="K37" s="53"/>
      <c r="L37" s="53"/>
      <c r="M37" s="53"/>
      <c r="N37" s="54"/>
    </row>
    <row r="38" spans="1:14" ht="20.25" customHeight="1">
      <c r="A38" s="49"/>
      <c r="B38" s="49"/>
      <c r="C38" s="347"/>
      <c r="D38" s="51" t="s">
        <v>129</v>
      </c>
      <c r="E38" s="61"/>
      <c r="F38" s="61"/>
      <c r="G38" s="61"/>
      <c r="H38" s="53"/>
      <c r="I38" s="61"/>
      <c r="J38" s="61"/>
      <c r="K38" s="53"/>
      <c r="L38" s="53"/>
      <c r="M38" s="53"/>
      <c r="N38" s="54"/>
    </row>
    <row r="39" spans="1:14" ht="20.25" customHeight="1">
      <c r="A39" s="55"/>
      <c r="B39" s="55"/>
      <c r="C39" s="348"/>
      <c r="D39" s="51" t="s">
        <v>131</v>
      </c>
      <c r="E39" s="53">
        <f>SUM(E36,E37)-E38</f>
        <v>2000</v>
      </c>
      <c r="F39" s="53"/>
      <c r="G39" s="53"/>
      <c r="H39" s="53"/>
      <c r="I39" s="53">
        <f>SUM(I36,I37)-I38</f>
        <v>2000</v>
      </c>
      <c r="J39" s="53"/>
      <c r="K39" s="53">
        <f>SUM(K36,K37)-K38</f>
        <v>2000</v>
      </c>
      <c r="L39" s="53"/>
      <c r="M39" s="53"/>
      <c r="N39" s="54"/>
    </row>
    <row r="40" spans="1:14" ht="20.25" customHeight="1">
      <c r="A40" s="57" t="s">
        <v>136</v>
      </c>
      <c r="B40" s="58"/>
      <c r="C40" s="59" t="s">
        <v>17</v>
      </c>
      <c r="D40" s="62" t="s">
        <v>127</v>
      </c>
      <c r="E40" s="63">
        <f>SUM(E44)</f>
        <v>4050000</v>
      </c>
      <c r="F40" s="63"/>
      <c r="G40" s="63"/>
      <c r="H40" s="63"/>
      <c r="I40" s="63">
        <f>SUM(I44)</f>
        <v>1900000</v>
      </c>
      <c r="J40" s="63">
        <f>SUM(J44)</f>
        <v>895640</v>
      </c>
      <c r="K40" s="63">
        <f>SUM(K44)</f>
        <v>1004360</v>
      </c>
      <c r="L40" s="63"/>
      <c r="M40" s="63">
        <f>SUM(M44)</f>
        <v>2150000</v>
      </c>
      <c r="N40" s="54"/>
    </row>
    <row r="41" spans="1:14" ht="20.25" customHeight="1">
      <c r="A41" s="64"/>
      <c r="B41" s="49"/>
      <c r="C41" s="65"/>
      <c r="D41" s="62" t="s">
        <v>128</v>
      </c>
      <c r="E41" s="63"/>
      <c r="F41" s="63"/>
      <c r="G41" s="63"/>
      <c r="H41" s="63"/>
      <c r="I41" s="63"/>
      <c r="J41" s="63"/>
      <c r="K41" s="63"/>
      <c r="L41" s="63"/>
      <c r="M41" s="63"/>
      <c r="N41" s="54"/>
    </row>
    <row r="42" spans="1:14" ht="20.25" customHeight="1">
      <c r="A42" s="64"/>
      <c r="B42" s="49"/>
      <c r="C42" s="65"/>
      <c r="D42" s="62" t="s">
        <v>129</v>
      </c>
      <c r="E42" s="63"/>
      <c r="F42" s="63"/>
      <c r="G42" s="63"/>
      <c r="H42" s="63"/>
      <c r="I42" s="63"/>
      <c r="J42" s="63"/>
      <c r="K42" s="63"/>
      <c r="L42" s="63"/>
      <c r="M42" s="63"/>
      <c r="N42" s="54"/>
    </row>
    <row r="43" spans="1:14" ht="20.25" customHeight="1">
      <c r="A43" s="64"/>
      <c r="B43" s="49"/>
      <c r="C43" s="65"/>
      <c r="D43" s="66" t="s">
        <v>131</v>
      </c>
      <c r="E43" s="63">
        <f>SUM(E47)</f>
        <v>4050000</v>
      </c>
      <c r="F43" s="63"/>
      <c r="G43" s="63"/>
      <c r="H43" s="63"/>
      <c r="I43" s="63">
        <f>SUM(I47)</f>
        <v>1900000</v>
      </c>
      <c r="J43" s="63">
        <f>SUM(J47)</f>
        <v>895640</v>
      </c>
      <c r="K43" s="63">
        <f>SUM(K47)</f>
        <v>1004360</v>
      </c>
      <c r="L43" s="63"/>
      <c r="M43" s="63">
        <f>SUM(M47)</f>
        <v>2150000</v>
      </c>
      <c r="N43" s="54"/>
    </row>
    <row r="44" spans="1:14" ht="20.25" customHeight="1">
      <c r="A44" s="57"/>
      <c r="B44" s="58" t="s">
        <v>137</v>
      </c>
      <c r="C44" s="62" t="s">
        <v>18</v>
      </c>
      <c r="D44" s="66" t="s">
        <v>127</v>
      </c>
      <c r="E44" s="53">
        <f>SUM(I44,M44)</f>
        <v>4050000</v>
      </c>
      <c r="F44" s="53"/>
      <c r="G44" s="53"/>
      <c r="H44" s="67"/>
      <c r="I44" s="53">
        <f>SUM(K44,J44)</f>
        <v>1900000</v>
      </c>
      <c r="J44" s="53">
        <v>895640</v>
      </c>
      <c r="K44" s="67">
        <v>1004360</v>
      </c>
      <c r="L44" s="61"/>
      <c r="M44" s="53">
        <v>2150000</v>
      </c>
      <c r="N44" s="54"/>
    </row>
    <row r="45" spans="1:14" ht="20.25" customHeight="1">
      <c r="A45" s="49"/>
      <c r="B45" s="49"/>
      <c r="C45" s="50"/>
      <c r="D45" s="62" t="s">
        <v>128</v>
      </c>
      <c r="E45" s="53"/>
      <c r="F45" s="53"/>
      <c r="G45" s="68"/>
      <c r="H45" s="67"/>
      <c r="I45" s="53"/>
      <c r="J45" s="68"/>
      <c r="K45" s="67"/>
      <c r="L45" s="53"/>
      <c r="M45" s="53"/>
      <c r="N45" s="54"/>
    </row>
    <row r="46" spans="1:14" ht="20.25" customHeight="1">
      <c r="A46" s="49"/>
      <c r="B46" s="49"/>
      <c r="C46" s="50"/>
      <c r="D46" s="62" t="s">
        <v>129</v>
      </c>
      <c r="E46" s="53"/>
      <c r="F46" s="53"/>
      <c r="G46" s="61"/>
      <c r="H46" s="69"/>
      <c r="I46" s="53"/>
      <c r="J46" s="61"/>
      <c r="K46" s="69"/>
      <c r="L46" s="53"/>
      <c r="M46" s="53"/>
      <c r="N46" s="54"/>
    </row>
    <row r="47" spans="1:14" ht="20.25" customHeight="1">
      <c r="A47" s="55"/>
      <c r="B47" s="55"/>
      <c r="C47" s="56"/>
      <c r="D47" s="51" t="s">
        <v>131</v>
      </c>
      <c r="E47" s="53">
        <f>SUM(E44,E45)-E46</f>
        <v>4050000</v>
      </c>
      <c r="F47" s="53"/>
      <c r="G47" s="53"/>
      <c r="H47" s="53"/>
      <c r="I47" s="53">
        <f>SUM(I44,I45)-I46</f>
        <v>1900000</v>
      </c>
      <c r="J47" s="53">
        <f>SUM(J44,J45)-J46</f>
        <v>895640</v>
      </c>
      <c r="K47" s="53">
        <f>SUM(K44,K45)-K46</f>
        <v>1004360</v>
      </c>
      <c r="L47" s="53"/>
      <c r="M47" s="53">
        <f>SUM(M44,M45)-M46</f>
        <v>2150000</v>
      </c>
      <c r="N47" s="54"/>
    </row>
    <row r="48" spans="1:14" ht="20.25" customHeight="1">
      <c r="A48" s="57" t="s">
        <v>138</v>
      </c>
      <c r="B48" s="58"/>
      <c r="C48" s="349" t="s">
        <v>28</v>
      </c>
      <c r="D48" s="62" t="s">
        <v>127</v>
      </c>
      <c r="E48" s="63">
        <f>SUM(E52)</f>
        <v>21500</v>
      </c>
      <c r="F48" s="63">
        <f>SUM(F52)</f>
        <v>15000</v>
      </c>
      <c r="G48" s="63"/>
      <c r="H48" s="63"/>
      <c r="I48" s="63">
        <f>SUM(I52)</f>
        <v>21500</v>
      </c>
      <c r="J48" s="63"/>
      <c r="K48" s="63">
        <f>SUM(K52)</f>
        <v>21500</v>
      </c>
      <c r="L48" s="61"/>
      <c r="M48" s="53"/>
      <c r="N48" s="54"/>
    </row>
    <row r="49" spans="1:14" ht="20.25" customHeight="1">
      <c r="A49" s="49"/>
      <c r="B49" s="49"/>
      <c r="C49" s="350"/>
      <c r="D49" s="62" t="s">
        <v>128</v>
      </c>
      <c r="E49" s="61"/>
      <c r="F49" s="63"/>
      <c r="G49" s="63"/>
      <c r="H49" s="52"/>
      <c r="I49" s="63"/>
      <c r="J49" s="63"/>
      <c r="K49" s="63"/>
      <c r="L49" s="53"/>
      <c r="M49" s="53"/>
      <c r="N49" s="54"/>
    </row>
    <row r="50" spans="1:14" ht="20.25" customHeight="1">
      <c r="A50" s="49"/>
      <c r="B50" s="49"/>
      <c r="C50" s="50"/>
      <c r="D50" s="62" t="s">
        <v>129</v>
      </c>
      <c r="E50" s="63"/>
      <c r="F50" s="63"/>
      <c r="G50" s="63"/>
      <c r="H50" s="52"/>
      <c r="I50" s="63"/>
      <c r="J50" s="63"/>
      <c r="K50" s="52"/>
      <c r="L50" s="53"/>
      <c r="M50" s="53"/>
      <c r="N50" s="54"/>
    </row>
    <row r="51" spans="1:14" ht="20.25" customHeight="1">
      <c r="A51" s="49"/>
      <c r="B51" s="49"/>
      <c r="C51" s="50"/>
      <c r="D51" s="62" t="s">
        <v>131</v>
      </c>
      <c r="E51" s="63">
        <f>SUM(E55)</f>
        <v>21500</v>
      </c>
      <c r="F51" s="63">
        <f>SUM(F55)</f>
        <v>15000</v>
      </c>
      <c r="G51" s="63"/>
      <c r="H51" s="63"/>
      <c r="I51" s="63">
        <f>SUM(I55)</f>
        <v>21500</v>
      </c>
      <c r="J51" s="63"/>
      <c r="K51" s="63">
        <f>SUM(K55)</f>
        <v>21500</v>
      </c>
      <c r="L51" s="53"/>
      <c r="M51" s="70"/>
      <c r="N51" s="54"/>
    </row>
    <row r="52" spans="1:14" ht="20.25" customHeight="1">
      <c r="A52" s="57"/>
      <c r="B52" s="58" t="s">
        <v>139</v>
      </c>
      <c r="C52" s="314" t="s">
        <v>29</v>
      </c>
      <c r="D52" s="62" t="s">
        <v>127</v>
      </c>
      <c r="E52" s="61">
        <f>SUM(I52,M52)</f>
        <v>21500</v>
      </c>
      <c r="F52" s="61">
        <v>15000</v>
      </c>
      <c r="G52" s="61"/>
      <c r="H52" s="53"/>
      <c r="I52" s="61">
        <f>SUM(J52:K52)</f>
        <v>21500</v>
      </c>
      <c r="J52" s="61"/>
      <c r="K52" s="53">
        <f>15000+6500</f>
        <v>21500</v>
      </c>
      <c r="L52" s="53"/>
      <c r="M52" s="53"/>
      <c r="N52" s="54"/>
    </row>
    <row r="53" spans="1:14" ht="20.25" customHeight="1">
      <c r="A53" s="49"/>
      <c r="B53" s="49"/>
      <c r="C53" s="311"/>
      <c r="D53" s="62" t="s">
        <v>128</v>
      </c>
      <c r="E53" s="61"/>
      <c r="F53" s="61"/>
      <c r="G53" s="61"/>
      <c r="H53" s="53"/>
      <c r="I53" s="61"/>
      <c r="J53" s="61"/>
      <c r="K53" s="53"/>
      <c r="L53" s="53"/>
      <c r="M53" s="53"/>
      <c r="N53" s="54"/>
    </row>
    <row r="54" spans="1:14" ht="20.25" customHeight="1">
      <c r="A54" s="49"/>
      <c r="B54" s="49"/>
      <c r="C54" s="50"/>
      <c r="D54" s="62" t="s">
        <v>129</v>
      </c>
      <c r="E54" s="61"/>
      <c r="F54" s="61"/>
      <c r="G54" s="61"/>
      <c r="H54" s="53"/>
      <c r="I54" s="61"/>
      <c r="J54" s="61"/>
      <c r="K54" s="53"/>
      <c r="L54" s="53"/>
      <c r="M54" s="53"/>
      <c r="N54" s="54"/>
    </row>
    <row r="55" spans="1:14" ht="20.25" customHeight="1">
      <c r="A55" s="55"/>
      <c r="B55" s="55"/>
      <c r="C55" s="56"/>
      <c r="D55" s="51" t="s">
        <v>131</v>
      </c>
      <c r="E55" s="53">
        <f>SUM(E52,E53)-E54</f>
        <v>21500</v>
      </c>
      <c r="F55" s="53">
        <f>SUM(F52,F53)-F54</f>
        <v>15000</v>
      </c>
      <c r="G55" s="53"/>
      <c r="H55" s="53"/>
      <c r="I55" s="53">
        <f>SUM(I52,I53)-I54</f>
        <v>21500</v>
      </c>
      <c r="J55" s="53"/>
      <c r="K55" s="53">
        <f>SUM(K52,K53)-K54</f>
        <v>21500</v>
      </c>
      <c r="L55" s="53"/>
      <c r="M55" s="53"/>
      <c r="N55" s="54"/>
    </row>
    <row r="56" spans="1:14" ht="20.25" customHeight="1">
      <c r="A56" s="57" t="s">
        <v>140</v>
      </c>
      <c r="B56" s="58"/>
      <c r="C56" s="59" t="s">
        <v>34</v>
      </c>
      <c r="D56" s="62" t="s">
        <v>127</v>
      </c>
      <c r="E56" s="63">
        <f aca="true" t="shared" si="1" ref="E56:G57">SUM(E60,E64,E68)</f>
        <v>388500</v>
      </c>
      <c r="F56" s="63">
        <f t="shared" si="1"/>
        <v>385000</v>
      </c>
      <c r="G56" s="63"/>
      <c r="H56" s="63"/>
      <c r="I56" s="63">
        <f>SUM(I60,I64,I68)</f>
        <v>388500</v>
      </c>
      <c r="J56" s="63">
        <f>SUM(J60,J64,J68)</f>
        <v>176819</v>
      </c>
      <c r="K56" s="63">
        <f>SUM(K60,K64,K68)</f>
        <v>211681</v>
      </c>
      <c r="L56" s="63"/>
      <c r="M56" s="63"/>
      <c r="N56" s="54"/>
    </row>
    <row r="57" spans="1:14" ht="20.25" customHeight="1">
      <c r="A57" s="49"/>
      <c r="B57" s="49"/>
      <c r="C57" s="50"/>
      <c r="D57" s="62" t="s">
        <v>128</v>
      </c>
      <c r="E57" s="63">
        <f t="shared" si="1"/>
        <v>45000</v>
      </c>
      <c r="F57" s="63">
        <f t="shared" si="1"/>
        <v>3000</v>
      </c>
      <c r="G57" s="63">
        <f t="shared" si="1"/>
        <v>42000</v>
      </c>
      <c r="H57" s="63"/>
      <c r="I57" s="63">
        <f>SUM(I61,I65,I69)</f>
        <v>3000</v>
      </c>
      <c r="J57" s="63"/>
      <c r="K57" s="63">
        <f>SUM(K61,K65,K69)</f>
        <v>3000</v>
      </c>
      <c r="L57" s="63"/>
      <c r="M57" s="63">
        <f>SUM(M61,M65,M69)</f>
        <v>42000</v>
      </c>
      <c r="N57" s="54"/>
    </row>
    <row r="58" spans="1:14" ht="20.25" customHeight="1">
      <c r="A58" s="49"/>
      <c r="B58" s="49"/>
      <c r="C58" s="50"/>
      <c r="D58" s="62" t="s">
        <v>129</v>
      </c>
      <c r="E58" s="63"/>
      <c r="F58" s="63"/>
      <c r="G58" s="63"/>
      <c r="H58" s="63"/>
      <c r="I58" s="63"/>
      <c r="J58" s="63"/>
      <c r="K58" s="63"/>
      <c r="L58" s="63"/>
      <c r="M58" s="63"/>
      <c r="N58" s="54"/>
    </row>
    <row r="59" spans="1:14" ht="20.25" customHeight="1">
      <c r="A59" s="55"/>
      <c r="B59" s="55"/>
      <c r="C59" s="56"/>
      <c r="D59" s="51" t="s">
        <v>131</v>
      </c>
      <c r="E59" s="52">
        <f>SUM(E63,E67,E71)</f>
        <v>433500</v>
      </c>
      <c r="F59" s="63">
        <f>SUM(F63,F67,F71)</f>
        <v>388000</v>
      </c>
      <c r="G59" s="63">
        <f>SUM(G63,G67,G71)</f>
        <v>42000</v>
      </c>
      <c r="H59" s="52"/>
      <c r="I59" s="52">
        <f>SUM(I63,I67,I71)</f>
        <v>391500</v>
      </c>
      <c r="J59" s="52">
        <f>SUM(J63,J67,J71)</f>
        <v>176819</v>
      </c>
      <c r="K59" s="52">
        <f>SUM(K56:K57)-K58</f>
        <v>214681</v>
      </c>
      <c r="L59" s="52"/>
      <c r="M59" s="63">
        <f>SUM(M63,M67,M71)</f>
        <v>42000</v>
      </c>
      <c r="N59" s="54"/>
    </row>
    <row r="60" spans="1:14" ht="20.25" customHeight="1">
      <c r="A60" s="57"/>
      <c r="B60" s="58" t="s">
        <v>141</v>
      </c>
      <c r="C60" s="314" t="s">
        <v>142</v>
      </c>
      <c r="D60" s="62" t="s">
        <v>127</v>
      </c>
      <c r="E60" s="61">
        <f>SUM(I60,M60)</f>
        <v>172000</v>
      </c>
      <c r="F60" s="61">
        <v>172000</v>
      </c>
      <c r="G60" s="61"/>
      <c r="H60" s="53"/>
      <c r="I60" s="61">
        <f>SUM(J60,K60,L60)</f>
        <v>172000</v>
      </c>
      <c r="J60" s="61"/>
      <c r="K60" s="53">
        <v>172000</v>
      </c>
      <c r="L60" s="53"/>
      <c r="M60" s="53"/>
      <c r="N60" s="54"/>
    </row>
    <row r="61" spans="1:14" ht="20.25" customHeight="1">
      <c r="A61" s="49"/>
      <c r="B61" s="49"/>
      <c r="C61" s="311"/>
      <c r="D61" s="62" t="s">
        <v>128</v>
      </c>
      <c r="E61" s="61"/>
      <c r="F61" s="61"/>
      <c r="G61" s="61"/>
      <c r="H61" s="53"/>
      <c r="I61" s="61"/>
      <c r="J61" s="61"/>
      <c r="K61" s="53"/>
      <c r="L61" s="53"/>
      <c r="M61" s="53"/>
      <c r="N61" s="54"/>
    </row>
    <row r="62" spans="1:14" ht="20.25" customHeight="1">
      <c r="A62" s="49"/>
      <c r="B62" s="49"/>
      <c r="C62" s="50"/>
      <c r="D62" s="62" t="s">
        <v>129</v>
      </c>
      <c r="E62" s="61"/>
      <c r="F62" s="61"/>
      <c r="G62" s="61"/>
      <c r="H62" s="53"/>
      <c r="I62" s="61"/>
      <c r="J62" s="61"/>
      <c r="K62" s="53"/>
      <c r="L62" s="53"/>
      <c r="M62" s="53"/>
      <c r="N62" s="54"/>
    </row>
    <row r="63" spans="1:14" ht="20.25" customHeight="1">
      <c r="A63" s="55"/>
      <c r="B63" s="55"/>
      <c r="C63" s="56"/>
      <c r="D63" s="51" t="s">
        <v>131</v>
      </c>
      <c r="E63" s="53">
        <f>SUM(E60,E61)-E62</f>
        <v>172000</v>
      </c>
      <c r="F63" s="53">
        <f>SUM(F60,F61)-F62</f>
        <v>172000</v>
      </c>
      <c r="G63" s="53"/>
      <c r="H63" s="53"/>
      <c r="I63" s="53">
        <f>SUM(I60,I61)-I62</f>
        <v>172000</v>
      </c>
      <c r="J63" s="53"/>
      <c r="K63" s="53">
        <f>SUM(K60,K61)-K62</f>
        <v>172000</v>
      </c>
      <c r="L63" s="53"/>
      <c r="M63" s="53"/>
      <c r="N63" s="54"/>
    </row>
    <row r="64" spans="1:14" ht="20.25" customHeight="1">
      <c r="A64" s="57"/>
      <c r="B64" s="58" t="s">
        <v>143</v>
      </c>
      <c r="C64" s="314" t="s">
        <v>36</v>
      </c>
      <c r="D64" s="62" t="s">
        <v>127</v>
      </c>
      <c r="E64" s="61">
        <f>SUM(I64,M64)</f>
        <v>5500</v>
      </c>
      <c r="F64" s="61">
        <v>2000</v>
      </c>
      <c r="G64" s="61"/>
      <c r="H64" s="53"/>
      <c r="I64" s="61">
        <f>SUM(J64:K64)</f>
        <v>5500</v>
      </c>
      <c r="J64" s="61"/>
      <c r="K64" s="53">
        <f>3500+2000</f>
        <v>5500</v>
      </c>
      <c r="L64" s="53"/>
      <c r="M64" s="53"/>
      <c r="N64" s="54"/>
    </row>
    <row r="65" spans="1:14" ht="20.25" customHeight="1">
      <c r="A65" s="49"/>
      <c r="B65" s="49"/>
      <c r="C65" s="311"/>
      <c r="D65" s="62" t="s">
        <v>128</v>
      </c>
      <c r="E65" s="61"/>
      <c r="F65" s="61"/>
      <c r="G65" s="61"/>
      <c r="H65" s="53"/>
      <c r="I65" s="61"/>
      <c r="J65" s="61"/>
      <c r="K65" s="53"/>
      <c r="L65" s="53"/>
      <c r="M65" s="53"/>
      <c r="N65" s="54"/>
    </row>
    <row r="66" spans="1:14" ht="20.25" customHeight="1">
      <c r="A66" s="49"/>
      <c r="B66" s="49"/>
      <c r="C66" s="50"/>
      <c r="D66" s="62" t="s">
        <v>129</v>
      </c>
      <c r="E66" s="61"/>
      <c r="F66" s="61"/>
      <c r="G66" s="61"/>
      <c r="H66" s="53"/>
      <c r="I66" s="61"/>
      <c r="J66" s="61"/>
      <c r="K66" s="53"/>
      <c r="L66" s="53"/>
      <c r="M66" s="53"/>
      <c r="N66" s="54"/>
    </row>
    <row r="67" spans="1:14" ht="20.25" customHeight="1">
      <c r="A67" s="55"/>
      <c r="B67" s="55"/>
      <c r="C67" s="56"/>
      <c r="D67" s="51" t="s">
        <v>131</v>
      </c>
      <c r="E67" s="53">
        <f>SUM(E64,E65)-E66</f>
        <v>5500</v>
      </c>
      <c r="F67" s="53">
        <f>SUM(F64,F65)-F66</f>
        <v>2000</v>
      </c>
      <c r="G67" s="53"/>
      <c r="H67" s="53"/>
      <c r="I67" s="53">
        <f>SUM(I64,I65)-I66</f>
        <v>5500</v>
      </c>
      <c r="J67" s="53"/>
      <c r="K67" s="53">
        <f>SUM(K64,K65)-K66</f>
        <v>5500</v>
      </c>
      <c r="L67" s="53"/>
      <c r="M67" s="53"/>
      <c r="N67" s="54"/>
    </row>
    <row r="68" spans="1:14" ht="20.25" customHeight="1">
      <c r="A68" s="57"/>
      <c r="B68" s="58" t="s">
        <v>144</v>
      </c>
      <c r="C68" s="62" t="s">
        <v>37</v>
      </c>
      <c r="D68" s="62" t="s">
        <v>127</v>
      </c>
      <c r="E68" s="61">
        <f>SUM(I68,M68)</f>
        <v>211000</v>
      </c>
      <c r="F68" s="61">
        <v>211000</v>
      </c>
      <c r="G68" s="61"/>
      <c r="H68" s="61"/>
      <c r="I68" s="61">
        <f>SUM(K68,J68)</f>
        <v>211000</v>
      </c>
      <c r="J68" s="61">
        <f>48000+88282+10285+26660+3592</f>
        <v>176819</v>
      </c>
      <c r="K68" s="53">
        <v>34181</v>
      </c>
      <c r="L68" s="53"/>
      <c r="M68" s="53"/>
      <c r="N68" s="54"/>
    </row>
    <row r="69" spans="1:14" ht="20.25" customHeight="1">
      <c r="A69" s="49"/>
      <c r="B69" s="49"/>
      <c r="C69" s="50"/>
      <c r="D69" s="62" t="s">
        <v>128</v>
      </c>
      <c r="E69" s="61">
        <f>SUM(I69,M69)</f>
        <v>45000</v>
      </c>
      <c r="F69" s="61">
        <v>3000</v>
      </c>
      <c r="G69" s="61">
        <v>42000</v>
      </c>
      <c r="H69" s="53"/>
      <c r="I69" s="61">
        <f>SUM(K69,J69)</f>
        <v>3000</v>
      </c>
      <c r="J69" s="61"/>
      <c r="K69" s="53">
        <v>3000</v>
      </c>
      <c r="L69" s="53"/>
      <c r="M69" s="53">
        <v>42000</v>
      </c>
      <c r="N69" s="54"/>
    </row>
    <row r="70" spans="1:14" ht="20.25" customHeight="1">
      <c r="A70" s="49"/>
      <c r="B70" s="49"/>
      <c r="C70" s="50"/>
      <c r="D70" s="62" t="s">
        <v>129</v>
      </c>
      <c r="E70" s="61"/>
      <c r="F70" s="61"/>
      <c r="G70" s="61"/>
      <c r="H70" s="53"/>
      <c r="I70" s="61"/>
      <c r="J70" s="61"/>
      <c r="K70" s="53"/>
      <c r="L70" s="53"/>
      <c r="M70" s="53"/>
      <c r="N70" s="54"/>
    </row>
    <row r="71" spans="1:14" ht="20.25" customHeight="1">
      <c r="A71" s="49"/>
      <c r="B71" s="49"/>
      <c r="C71" s="50"/>
      <c r="D71" s="62" t="s">
        <v>131</v>
      </c>
      <c r="E71" s="61">
        <f>SUM(E68,E69)-E70</f>
        <v>256000</v>
      </c>
      <c r="F71" s="61">
        <f>SUM(F68,F69)-F70</f>
        <v>214000</v>
      </c>
      <c r="G71" s="61">
        <f>SUM(G68,G69)-G70</f>
        <v>42000</v>
      </c>
      <c r="H71" s="61"/>
      <c r="I71" s="61">
        <f>SUM(I68,I69)-I70</f>
        <v>214000</v>
      </c>
      <c r="J71" s="61">
        <f>SUM(J68,J69)-J70</f>
        <v>176819</v>
      </c>
      <c r="K71" s="61">
        <f>SUM(K68,K69,)-K70</f>
        <v>37181</v>
      </c>
      <c r="L71" s="61"/>
      <c r="M71" s="61">
        <f>SUM(M68,M69,)-M70</f>
        <v>42000</v>
      </c>
      <c r="N71" s="54"/>
    </row>
    <row r="72" spans="1:14" ht="20.25" customHeight="1">
      <c r="A72" s="57" t="s">
        <v>145</v>
      </c>
      <c r="B72" s="58"/>
      <c r="C72" s="59" t="s">
        <v>39</v>
      </c>
      <c r="D72" s="62" t="s">
        <v>127</v>
      </c>
      <c r="E72" s="63">
        <f>SUM(E76,E80,E84,E88)</f>
        <v>4028126</v>
      </c>
      <c r="F72" s="63">
        <f>SUM(F76,F80,F84,F88)</f>
        <v>170800</v>
      </c>
      <c r="G72" s="63"/>
      <c r="H72" s="63">
        <f>SUM(H76,H80,H84,H88)</f>
        <v>7000</v>
      </c>
      <c r="I72" s="63">
        <f>SUM(I76,I80,I84,I88)</f>
        <v>3944126</v>
      </c>
      <c r="J72" s="63">
        <f>SUM(J76,J80,J84,J88)</f>
        <v>2508477</v>
      </c>
      <c r="K72" s="63">
        <f>SUM(K76,K80,K84,K88)</f>
        <v>1435649</v>
      </c>
      <c r="L72" s="63"/>
      <c r="M72" s="63">
        <f>SUM(M76,M80,M84,M88)</f>
        <v>84000</v>
      </c>
      <c r="N72" s="54"/>
    </row>
    <row r="73" spans="1:14" ht="20.25" customHeight="1">
      <c r="A73" s="49"/>
      <c r="B73" s="49"/>
      <c r="C73" s="50"/>
      <c r="D73" s="62" t="s">
        <v>128</v>
      </c>
      <c r="E73" s="63">
        <f>SUM(E77,E81,E85,E89)</f>
        <v>3069</v>
      </c>
      <c r="F73" s="63"/>
      <c r="G73" s="63"/>
      <c r="H73" s="52"/>
      <c r="I73" s="63">
        <f>SUM(I77,I81,I85,I89)</f>
        <v>3069</v>
      </c>
      <c r="J73" s="63"/>
      <c r="K73" s="63">
        <f>SUM(K77,K81,K85,K89)</f>
        <v>3069</v>
      </c>
      <c r="L73" s="52"/>
      <c r="M73" s="63"/>
      <c r="N73" s="54"/>
    </row>
    <row r="74" spans="1:14" ht="20.25" customHeight="1">
      <c r="A74" s="49"/>
      <c r="B74" s="49"/>
      <c r="C74" s="50"/>
      <c r="D74" s="62" t="s">
        <v>129</v>
      </c>
      <c r="E74" s="63">
        <f>SUM(E78,E82,E86,E90)</f>
        <v>14037</v>
      </c>
      <c r="F74" s="63"/>
      <c r="G74" s="63"/>
      <c r="H74" s="63"/>
      <c r="I74" s="63">
        <f>SUM(I78,I82,I86,I90)</f>
        <v>14037</v>
      </c>
      <c r="J74" s="63">
        <f>SUM(J78,J82,J86,J90)</f>
        <v>1735</v>
      </c>
      <c r="K74" s="63">
        <f>SUM(K78,K82,K86,K90)</f>
        <v>12302</v>
      </c>
      <c r="L74" s="63"/>
      <c r="M74" s="63"/>
      <c r="N74" s="54"/>
    </row>
    <row r="75" spans="1:14" ht="20.25" customHeight="1">
      <c r="A75" s="55"/>
      <c r="B75" s="55"/>
      <c r="C75" s="56"/>
      <c r="D75" s="51" t="s">
        <v>131</v>
      </c>
      <c r="E75" s="52">
        <f>SUM(I75,M75)</f>
        <v>4017158</v>
      </c>
      <c r="F75" s="52">
        <f>SUM(F79,F83,F87,F91)</f>
        <v>170800</v>
      </c>
      <c r="G75" s="52"/>
      <c r="H75" s="52">
        <f>SUM(H72:H73)-H74</f>
        <v>7000</v>
      </c>
      <c r="I75" s="52">
        <f>SUM(J75:K75)</f>
        <v>3933158</v>
      </c>
      <c r="J75" s="52">
        <f>SUM(J79,J83,J87,J91)</f>
        <v>2506742</v>
      </c>
      <c r="K75" s="52">
        <f>SUM(K72:K73)-K74</f>
        <v>1426416</v>
      </c>
      <c r="L75" s="52"/>
      <c r="M75" s="52">
        <f>SUM(M79,M83,M87,M91)</f>
        <v>84000</v>
      </c>
      <c r="N75" s="54"/>
    </row>
    <row r="76" spans="1:14" ht="20.25" customHeight="1">
      <c r="A76" s="57"/>
      <c r="B76" s="58" t="s">
        <v>146</v>
      </c>
      <c r="C76" s="62" t="s">
        <v>40</v>
      </c>
      <c r="D76" s="62" t="s">
        <v>127</v>
      </c>
      <c r="E76" s="61">
        <f>SUM(I76,M76)</f>
        <v>148800</v>
      </c>
      <c r="F76" s="61">
        <v>148800</v>
      </c>
      <c r="G76" s="61"/>
      <c r="H76" s="53"/>
      <c r="I76" s="61">
        <f>SUM(J76:L76)</f>
        <v>148800</v>
      </c>
      <c r="J76" s="61">
        <v>148800</v>
      </c>
      <c r="K76" s="53"/>
      <c r="L76" s="53"/>
      <c r="M76" s="53"/>
      <c r="N76" s="54"/>
    </row>
    <row r="77" spans="1:14" ht="20.25" customHeight="1">
      <c r="A77" s="49"/>
      <c r="B77" s="49"/>
      <c r="C77" s="50"/>
      <c r="D77" s="62" t="s">
        <v>128</v>
      </c>
      <c r="E77" s="61"/>
      <c r="F77" s="61"/>
      <c r="G77" s="61"/>
      <c r="H77" s="53"/>
      <c r="I77" s="61"/>
      <c r="J77" s="61"/>
      <c r="K77" s="53"/>
      <c r="L77" s="53"/>
      <c r="M77" s="53"/>
      <c r="N77" s="54"/>
    </row>
    <row r="78" spans="1:14" ht="20.25" customHeight="1">
      <c r="A78" s="49"/>
      <c r="B78" s="49"/>
      <c r="C78" s="50"/>
      <c r="D78" s="62" t="s">
        <v>129</v>
      </c>
      <c r="E78" s="61"/>
      <c r="F78" s="61"/>
      <c r="G78" s="61"/>
      <c r="H78" s="53"/>
      <c r="I78" s="61"/>
      <c r="J78" s="61"/>
      <c r="K78" s="53"/>
      <c r="L78" s="53"/>
      <c r="M78" s="53"/>
      <c r="N78" s="54"/>
    </row>
    <row r="79" spans="1:14" ht="20.25" customHeight="1">
      <c r="A79" s="55"/>
      <c r="B79" s="55"/>
      <c r="C79" s="56"/>
      <c r="D79" s="51" t="s">
        <v>131</v>
      </c>
      <c r="E79" s="53">
        <f>SUM(I79,M79)</f>
        <v>148800</v>
      </c>
      <c r="F79" s="53">
        <f>SUM(F76,F77)-F78</f>
        <v>148800</v>
      </c>
      <c r="G79" s="53"/>
      <c r="H79" s="53">
        <f>SUM(H76,H77)-H78</f>
        <v>0</v>
      </c>
      <c r="I79" s="53">
        <f>SUM(I76,I77)-I78</f>
        <v>148800</v>
      </c>
      <c r="J79" s="53">
        <f>SUM(J76,J77)-J78</f>
        <v>148800</v>
      </c>
      <c r="K79" s="53"/>
      <c r="L79" s="53"/>
      <c r="M79" s="53"/>
      <c r="N79" s="54"/>
    </row>
    <row r="80" spans="1:14" ht="20.25" customHeight="1">
      <c r="A80" s="57"/>
      <c r="B80" s="58" t="s">
        <v>147</v>
      </c>
      <c r="C80" s="62" t="s">
        <v>148</v>
      </c>
      <c r="D80" s="62" t="s">
        <v>127</v>
      </c>
      <c r="E80" s="61">
        <f>SUM(M80,I80)</f>
        <v>263000</v>
      </c>
      <c r="F80" s="61"/>
      <c r="G80" s="61"/>
      <c r="H80" s="61"/>
      <c r="I80" s="61">
        <f>SUM(J80,K80,L80)</f>
        <v>263000</v>
      </c>
      <c r="J80" s="61"/>
      <c r="K80" s="61">
        <v>263000</v>
      </c>
      <c r="L80" s="61"/>
      <c r="M80" s="53"/>
      <c r="N80" s="54"/>
    </row>
    <row r="81" spans="1:14" ht="20.25" customHeight="1">
      <c r="A81" s="49"/>
      <c r="B81" s="49"/>
      <c r="C81" s="50"/>
      <c r="D81" s="62" t="s">
        <v>128</v>
      </c>
      <c r="E81" s="61"/>
      <c r="F81" s="61"/>
      <c r="G81" s="61"/>
      <c r="H81" s="61"/>
      <c r="I81" s="61"/>
      <c r="J81" s="61"/>
      <c r="K81" s="61"/>
      <c r="L81" s="61"/>
      <c r="M81" s="53"/>
      <c r="N81" s="54"/>
    </row>
    <row r="82" spans="1:14" ht="20.25" customHeight="1">
      <c r="A82" s="49"/>
      <c r="B82" s="49"/>
      <c r="C82" s="50"/>
      <c r="D82" s="62" t="s">
        <v>129</v>
      </c>
      <c r="E82" s="61"/>
      <c r="F82" s="61"/>
      <c r="G82" s="61"/>
      <c r="H82" s="61"/>
      <c r="I82" s="61"/>
      <c r="J82" s="61"/>
      <c r="K82" s="61"/>
      <c r="L82" s="61"/>
      <c r="M82" s="53"/>
      <c r="N82" s="54"/>
    </row>
    <row r="83" spans="1:14" ht="20.25" customHeight="1">
      <c r="A83" s="55"/>
      <c r="B83" s="55"/>
      <c r="C83" s="56"/>
      <c r="D83" s="51" t="s">
        <v>131</v>
      </c>
      <c r="E83" s="53">
        <f>SUM(M83,I83)</f>
        <v>263000</v>
      </c>
      <c r="F83" s="53"/>
      <c r="G83" s="53"/>
      <c r="H83" s="53"/>
      <c r="I83" s="53">
        <f>SUM(I80,I81)-I82</f>
        <v>263000</v>
      </c>
      <c r="J83" s="53"/>
      <c r="K83" s="53">
        <f>SUM(K80,K81)-K82</f>
        <v>263000</v>
      </c>
      <c r="L83" s="53"/>
      <c r="M83" s="53"/>
      <c r="N83" s="54"/>
    </row>
    <row r="84" spans="1:14" ht="20.25" customHeight="1">
      <c r="A84" s="57"/>
      <c r="B84" s="58" t="s">
        <v>149</v>
      </c>
      <c r="C84" s="62" t="s">
        <v>49</v>
      </c>
      <c r="D84" s="62" t="s">
        <v>127</v>
      </c>
      <c r="E84" s="72">
        <f aca="true" t="shared" si="2" ref="E84:E91">SUM(I84,M84)</f>
        <v>3587326</v>
      </c>
      <c r="F84" s="72"/>
      <c r="G84" s="72"/>
      <c r="H84" s="72"/>
      <c r="I84" s="72">
        <f>SUM(J84,K84)</f>
        <v>3503326</v>
      </c>
      <c r="J84" s="72">
        <v>2340687</v>
      </c>
      <c r="K84" s="72">
        <v>1162639</v>
      </c>
      <c r="L84" s="61"/>
      <c r="M84" s="53">
        <f>40000+44000</f>
        <v>84000</v>
      </c>
      <c r="N84" s="54"/>
    </row>
    <row r="85" spans="1:14" ht="20.25" customHeight="1">
      <c r="A85" s="49"/>
      <c r="B85" s="49"/>
      <c r="C85" s="50"/>
      <c r="D85" s="62" t="s">
        <v>128</v>
      </c>
      <c r="E85" s="72"/>
      <c r="F85" s="72"/>
      <c r="G85" s="72"/>
      <c r="H85" s="72"/>
      <c r="I85" s="72"/>
      <c r="J85" s="72"/>
      <c r="K85" s="72"/>
      <c r="L85" s="61"/>
      <c r="M85" s="53"/>
      <c r="N85" s="54"/>
    </row>
    <row r="86" spans="1:14" ht="20.25" customHeight="1">
      <c r="A86" s="49"/>
      <c r="B86" s="49"/>
      <c r="C86" s="50"/>
      <c r="D86" s="62" t="s">
        <v>129</v>
      </c>
      <c r="E86" s="72">
        <f t="shared" si="2"/>
        <v>10968</v>
      </c>
      <c r="F86" s="72"/>
      <c r="G86" s="72"/>
      <c r="H86" s="72"/>
      <c r="I86" s="72">
        <f>SUM(J86,K86)</f>
        <v>10968</v>
      </c>
      <c r="J86" s="72"/>
      <c r="K86" s="72">
        <f>20500-9532</f>
        <v>10968</v>
      </c>
      <c r="L86" s="61"/>
      <c r="M86" s="53"/>
      <c r="N86" s="54"/>
    </row>
    <row r="87" spans="1:14" ht="20.25" customHeight="1">
      <c r="A87" s="55"/>
      <c r="B87" s="55"/>
      <c r="C87" s="56"/>
      <c r="D87" s="51" t="s">
        <v>131</v>
      </c>
      <c r="E87" s="73">
        <f t="shared" si="2"/>
        <v>3576358</v>
      </c>
      <c r="F87" s="73"/>
      <c r="G87" s="73"/>
      <c r="H87" s="73"/>
      <c r="I87" s="73">
        <f>SUM(J87,K87)</f>
        <v>3492358</v>
      </c>
      <c r="J87" s="73">
        <f>SUM(J84,J85)-J86</f>
        <v>2340687</v>
      </c>
      <c r="K87" s="73">
        <f>SUM(K84,K85,)-K86</f>
        <v>1151671</v>
      </c>
      <c r="L87" s="53"/>
      <c r="M87" s="53">
        <f>SUM(M84,M85)-M86</f>
        <v>84000</v>
      </c>
      <c r="N87" s="54"/>
    </row>
    <row r="88" spans="1:14" ht="20.25" customHeight="1">
      <c r="A88" s="57"/>
      <c r="B88" s="58" t="s">
        <v>150</v>
      </c>
      <c r="C88" s="62" t="s">
        <v>57</v>
      </c>
      <c r="D88" s="62" t="s">
        <v>127</v>
      </c>
      <c r="E88" s="61">
        <f t="shared" si="2"/>
        <v>29000</v>
      </c>
      <c r="F88" s="61">
        <v>22000</v>
      </c>
      <c r="G88" s="61"/>
      <c r="H88" s="61">
        <v>7000</v>
      </c>
      <c r="I88" s="61">
        <f>SUM(K88,J88)</f>
        <v>29000</v>
      </c>
      <c r="J88" s="61">
        <f>6952+1198+180+10660</f>
        <v>18990</v>
      </c>
      <c r="K88" s="61">
        <f>2321+7000+166+523</f>
        <v>10010</v>
      </c>
      <c r="L88" s="61"/>
      <c r="M88" s="53"/>
      <c r="N88" s="54"/>
    </row>
    <row r="89" spans="1:14" ht="20.25" customHeight="1">
      <c r="A89" s="49"/>
      <c r="B89" s="49"/>
      <c r="C89" s="50"/>
      <c r="D89" s="62" t="s">
        <v>128</v>
      </c>
      <c r="E89" s="61">
        <f t="shared" si="2"/>
        <v>3069</v>
      </c>
      <c r="F89" s="61"/>
      <c r="G89" s="61"/>
      <c r="H89" s="61"/>
      <c r="I89" s="61">
        <f>SUM(K89,J89)</f>
        <v>3069</v>
      </c>
      <c r="J89" s="61"/>
      <c r="K89" s="61">
        <v>3069</v>
      </c>
      <c r="L89" s="61"/>
      <c r="M89" s="53"/>
      <c r="N89" s="54"/>
    </row>
    <row r="90" spans="1:14" ht="20.25" customHeight="1">
      <c r="A90" s="49"/>
      <c r="B90" s="49"/>
      <c r="C90" s="50"/>
      <c r="D90" s="62" t="s">
        <v>129</v>
      </c>
      <c r="E90" s="61">
        <f t="shared" si="2"/>
        <v>3069</v>
      </c>
      <c r="F90" s="61"/>
      <c r="G90" s="61"/>
      <c r="H90" s="61"/>
      <c r="I90" s="61">
        <f>SUM(K90,J90)</f>
        <v>3069</v>
      </c>
      <c r="J90" s="61">
        <v>1735</v>
      </c>
      <c r="K90" s="61">
        <v>1334</v>
      </c>
      <c r="L90" s="61"/>
      <c r="M90" s="53"/>
      <c r="N90" s="54"/>
    </row>
    <row r="91" spans="1:14" ht="20.25" customHeight="1">
      <c r="A91" s="55"/>
      <c r="B91" s="55"/>
      <c r="C91" s="56"/>
      <c r="D91" s="51" t="s">
        <v>131</v>
      </c>
      <c r="E91" s="53">
        <f t="shared" si="2"/>
        <v>29000</v>
      </c>
      <c r="F91" s="53">
        <f>SUM(F88,F89)-F90</f>
        <v>22000</v>
      </c>
      <c r="G91" s="53"/>
      <c r="H91" s="53">
        <f>SUM(H88,H89)-H90</f>
        <v>7000</v>
      </c>
      <c r="I91" s="53">
        <f>SUM(I88,I89)-I90</f>
        <v>29000</v>
      </c>
      <c r="J91" s="53">
        <f>SUM(J88:J89)-J90</f>
        <v>17255</v>
      </c>
      <c r="K91" s="53">
        <f>SUM(K88:K89)-K90</f>
        <v>11745</v>
      </c>
      <c r="L91" s="53"/>
      <c r="M91" s="53"/>
      <c r="N91" s="54"/>
    </row>
    <row r="92" spans="1:14" ht="20.25" customHeight="1">
      <c r="A92" s="57" t="s">
        <v>151</v>
      </c>
      <c r="B92" s="58"/>
      <c r="C92" s="330" t="s">
        <v>58</v>
      </c>
      <c r="D92" s="62" t="s">
        <v>127</v>
      </c>
      <c r="E92" s="63">
        <f>SUM(E96,E100,E104)</f>
        <v>2252533</v>
      </c>
      <c r="F92" s="63">
        <f>SUM(F96,F100,F104)</f>
        <v>2148633</v>
      </c>
      <c r="G92" s="63">
        <f>SUM(G96,G100,G104)</f>
        <v>70000</v>
      </c>
      <c r="H92" s="63"/>
      <c r="I92" s="63">
        <f>SUM(I96,I100,I104)</f>
        <v>2172533</v>
      </c>
      <c r="J92" s="63">
        <f>SUM(J96,J100,J104)</f>
        <v>1709975</v>
      </c>
      <c r="K92" s="63">
        <f>SUM(K96,K100,K104)</f>
        <v>442558</v>
      </c>
      <c r="L92" s="63">
        <f>SUM(L96,L100,L104)</f>
        <v>20000</v>
      </c>
      <c r="M92" s="63">
        <f>SUM(M96,M100,M104)</f>
        <v>80000</v>
      </c>
      <c r="N92" s="54"/>
    </row>
    <row r="93" spans="1:14" ht="20.25" customHeight="1">
      <c r="A93" s="49"/>
      <c r="B93" s="49"/>
      <c r="C93" s="331"/>
      <c r="D93" s="62" t="s">
        <v>128</v>
      </c>
      <c r="E93" s="63"/>
      <c r="F93" s="63"/>
      <c r="G93" s="63"/>
      <c r="H93" s="63"/>
      <c r="I93" s="63"/>
      <c r="J93" s="63"/>
      <c r="K93" s="63"/>
      <c r="L93" s="63"/>
      <c r="M93" s="63"/>
      <c r="N93" s="54"/>
    </row>
    <row r="94" spans="1:14" ht="20.25" customHeight="1">
      <c r="A94" s="49"/>
      <c r="B94" s="49"/>
      <c r="C94" s="50"/>
      <c r="D94" s="62" t="s">
        <v>129</v>
      </c>
      <c r="E94" s="63"/>
      <c r="F94" s="63"/>
      <c r="G94" s="63"/>
      <c r="H94" s="63"/>
      <c r="I94" s="63"/>
      <c r="J94" s="63"/>
      <c r="K94" s="63"/>
      <c r="L94" s="63"/>
      <c r="M94" s="63"/>
      <c r="N94" s="54"/>
    </row>
    <row r="95" spans="1:14" ht="20.25" customHeight="1">
      <c r="A95" s="55"/>
      <c r="B95" s="55"/>
      <c r="C95" s="56"/>
      <c r="D95" s="51" t="s">
        <v>131</v>
      </c>
      <c r="E95" s="52">
        <f>SUM(E99,E103,E107)</f>
        <v>2252533</v>
      </c>
      <c r="F95" s="52">
        <f>SUM(F99,F103,F107)</f>
        <v>2148633</v>
      </c>
      <c r="G95" s="52">
        <f>SUM(G99,G103,G107)</f>
        <v>70000</v>
      </c>
      <c r="H95" s="52"/>
      <c r="I95" s="52">
        <f>SUM(I99,I103,I107)</f>
        <v>2172533</v>
      </c>
      <c r="J95" s="52">
        <f>SUM(J99,J103,J107)</f>
        <v>1709975</v>
      </c>
      <c r="K95" s="52">
        <f>SUM(K99,K103,K107)</f>
        <v>442558</v>
      </c>
      <c r="L95" s="52">
        <f>SUM(L99,L103,L107)</f>
        <v>20000</v>
      </c>
      <c r="M95" s="52">
        <f>SUM(M99,M103,M107)</f>
        <v>80000</v>
      </c>
      <c r="N95" s="54"/>
    </row>
    <row r="96" spans="1:14" ht="20.25" customHeight="1">
      <c r="A96" s="57"/>
      <c r="B96" s="58" t="s">
        <v>152</v>
      </c>
      <c r="C96" s="314" t="s">
        <v>62</v>
      </c>
      <c r="D96" s="62" t="s">
        <v>127</v>
      </c>
      <c r="E96" s="61">
        <f>SUM(I96,M96)</f>
        <v>2231633</v>
      </c>
      <c r="F96" s="61">
        <v>2148633</v>
      </c>
      <c r="G96" s="61">
        <v>70000</v>
      </c>
      <c r="H96" s="61"/>
      <c r="I96" s="61">
        <f>SUM(K96,J96)</f>
        <v>2151633</v>
      </c>
      <c r="J96" s="61">
        <v>1709975</v>
      </c>
      <c r="K96" s="61">
        <v>441658</v>
      </c>
      <c r="L96" s="61"/>
      <c r="M96" s="53">
        <v>80000</v>
      </c>
      <c r="N96" s="54"/>
    </row>
    <row r="97" spans="1:14" ht="20.25" customHeight="1">
      <c r="A97" s="49"/>
      <c r="B97" s="49"/>
      <c r="C97" s="311"/>
      <c r="D97" s="62" t="s">
        <v>128</v>
      </c>
      <c r="E97" s="61"/>
      <c r="F97" s="61"/>
      <c r="G97" s="61"/>
      <c r="H97" s="61"/>
      <c r="I97" s="61"/>
      <c r="J97" s="61"/>
      <c r="K97" s="61"/>
      <c r="L97" s="61"/>
      <c r="M97" s="53"/>
      <c r="N97" s="54"/>
    </row>
    <row r="98" spans="1:14" ht="20.25" customHeight="1">
      <c r="A98" s="49"/>
      <c r="B98" s="49"/>
      <c r="C98" s="50"/>
      <c r="D98" s="62" t="s">
        <v>129</v>
      </c>
      <c r="E98" s="61"/>
      <c r="F98" s="61"/>
      <c r="G98" s="61"/>
      <c r="H98" s="61"/>
      <c r="I98" s="61"/>
      <c r="J98" s="61"/>
      <c r="K98" s="61"/>
      <c r="L98" s="61"/>
      <c r="M98" s="53"/>
      <c r="N98" s="54"/>
    </row>
    <row r="99" spans="1:14" ht="20.25" customHeight="1">
      <c r="A99" s="49"/>
      <c r="B99" s="55"/>
      <c r="C99" s="56"/>
      <c r="D99" s="62" t="s">
        <v>131</v>
      </c>
      <c r="E99" s="61">
        <f>SUM(I99,M99)</f>
        <v>2231633</v>
      </c>
      <c r="F99" s="61">
        <f>SUM(F96:F97)-F98</f>
        <v>2148633</v>
      </c>
      <c r="G99" s="61">
        <f>SUM(G96:G97)-G98</f>
        <v>70000</v>
      </c>
      <c r="H99" s="61"/>
      <c r="I99" s="61">
        <f>SUM(J99:L99)</f>
        <v>2151633</v>
      </c>
      <c r="J99" s="53">
        <f>SUM(J96,J97)-J98</f>
        <v>1709975</v>
      </c>
      <c r="K99" s="53">
        <f>SUM(K96,K97)-K98</f>
        <v>441658</v>
      </c>
      <c r="L99" s="61"/>
      <c r="M99" s="53">
        <f>SUM(M96,M97)-M98</f>
        <v>80000</v>
      </c>
      <c r="N99" s="54"/>
    </row>
    <row r="100" spans="1:14" ht="20.25" customHeight="1">
      <c r="A100" s="57"/>
      <c r="B100" s="58" t="s">
        <v>153</v>
      </c>
      <c r="C100" s="314" t="s">
        <v>59</v>
      </c>
      <c r="D100" s="62" t="s">
        <v>127</v>
      </c>
      <c r="E100" s="61">
        <f>SUM(I100,M100)</f>
        <v>20000</v>
      </c>
      <c r="F100" s="61"/>
      <c r="G100" s="61"/>
      <c r="H100" s="61"/>
      <c r="I100" s="61">
        <f>SUM(J100:L100)</f>
        <v>20000</v>
      </c>
      <c r="J100" s="61"/>
      <c r="K100" s="61"/>
      <c r="L100" s="61">
        <v>20000</v>
      </c>
      <c r="M100" s="53"/>
      <c r="N100" s="54"/>
    </row>
    <row r="101" spans="1:14" ht="20.25" customHeight="1">
      <c r="A101" s="49"/>
      <c r="B101" s="49"/>
      <c r="C101" s="311"/>
      <c r="D101" s="62" t="s">
        <v>128</v>
      </c>
      <c r="E101" s="61"/>
      <c r="F101" s="61"/>
      <c r="G101" s="61"/>
      <c r="H101" s="61"/>
      <c r="I101" s="61"/>
      <c r="J101" s="61"/>
      <c r="K101" s="61"/>
      <c r="L101" s="61"/>
      <c r="M101" s="53"/>
      <c r="N101" s="54"/>
    </row>
    <row r="102" spans="1:14" ht="20.25" customHeight="1">
      <c r="A102" s="49"/>
      <c r="B102" s="49"/>
      <c r="C102" s="50"/>
      <c r="D102" s="62" t="s">
        <v>129</v>
      </c>
      <c r="E102" s="61"/>
      <c r="F102" s="61"/>
      <c r="G102" s="61"/>
      <c r="H102" s="61"/>
      <c r="I102" s="61"/>
      <c r="J102" s="61"/>
      <c r="K102" s="61"/>
      <c r="L102" s="61"/>
      <c r="M102" s="53"/>
      <c r="N102" s="54"/>
    </row>
    <row r="103" spans="1:14" ht="20.25" customHeight="1">
      <c r="A103" s="55"/>
      <c r="B103" s="55"/>
      <c r="C103" s="56"/>
      <c r="D103" s="51" t="s">
        <v>131</v>
      </c>
      <c r="E103" s="53">
        <f>SUM(E100,E101)-E102</f>
        <v>20000</v>
      </c>
      <c r="F103" s="53"/>
      <c r="G103" s="53">
        <f>SUM(G100:G101)-G102</f>
        <v>0</v>
      </c>
      <c r="H103" s="53"/>
      <c r="I103" s="61">
        <f>SUM(J103:L103)</f>
        <v>20000</v>
      </c>
      <c r="J103" s="53"/>
      <c r="K103" s="53"/>
      <c r="L103" s="53">
        <f>SUM(L100,L101)-L102</f>
        <v>20000</v>
      </c>
      <c r="M103" s="53">
        <f>SUM(M100,M101)-M102</f>
        <v>0</v>
      </c>
      <c r="N103" s="54"/>
    </row>
    <row r="104" spans="1:14" ht="20.25" customHeight="1">
      <c r="A104" s="57"/>
      <c r="B104" s="58" t="s">
        <v>154</v>
      </c>
      <c r="C104" s="62" t="s">
        <v>81</v>
      </c>
      <c r="D104" s="62" t="s">
        <v>127</v>
      </c>
      <c r="E104" s="61">
        <f>SUM(I104,M104)</f>
        <v>900</v>
      </c>
      <c r="F104" s="61"/>
      <c r="G104" s="61"/>
      <c r="H104" s="61"/>
      <c r="I104" s="61">
        <f>SUM(J104,K104,L104)</f>
        <v>900</v>
      </c>
      <c r="J104" s="61"/>
      <c r="K104" s="61">
        <v>900</v>
      </c>
      <c r="L104" s="61"/>
      <c r="M104" s="53"/>
      <c r="N104" s="54"/>
    </row>
    <row r="105" spans="1:14" ht="20.25" customHeight="1">
      <c r="A105" s="49"/>
      <c r="B105" s="49"/>
      <c r="C105" s="50"/>
      <c r="D105" s="62" t="s">
        <v>128</v>
      </c>
      <c r="E105" s="61"/>
      <c r="F105" s="61"/>
      <c r="G105" s="61"/>
      <c r="H105" s="61"/>
      <c r="I105" s="61"/>
      <c r="J105" s="61"/>
      <c r="K105" s="61"/>
      <c r="L105" s="61"/>
      <c r="M105" s="53"/>
      <c r="N105" s="54"/>
    </row>
    <row r="106" spans="1:14" ht="20.25" customHeight="1">
      <c r="A106" s="49"/>
      <c r="B106" s="49"/>
      <c r="C106" s="50"/>
      <c r="D106" s="62" t="s">
        <v>129</v>
      </c>
      <c r="E106" s="61"/>
      <c r="F106" s="61"/>
      <c r="G106" s="61"/>
      <c r="H106" s="61"/>
      <c r="I106" s="61"/>
      <c r="J106" s="61"/>
      <c r="K106" s="61"/>
      <c r="L106" s="61"/>
      <c r="M106" s="53"/>
      <c r="N106" s="54"/>
    </row>
    <row r="107" spans="1:14" ht="20.25" customHeight="1">
      <c r="A107" s="55"/>
      <c r="B107" s="55"/>
      <c r="C107" s="56"/>
      <c r="D107" s="51" t="s">
        <v>131</v>
      </c>
      <c r="E107" s="53">
        <f>SUM(I107,M107)</f>
        <v>900</v>
      </c>
      <c r="F107" s="53"/>
      <c r="G107" s="53"/>
      <c r="H107" s="53"/>
      <c r="I107" s="53">
        <f>SUM(I104,I105)-I106</f>
        <v>900</v>
      </c>
      <c r="J107" s="53"/>
      <c r="K107" s="53">
        <f>SUM(K104,K105)-K106</f>
        <v>900</v>
      </c>
      <c r="L107" s="53"/>
      <c r="M107" s="53"/>
      <c r="N107" s="54"/>
    </row>
    <row r="108" spans="1:14" ht="20.25" customHeight="1">
      <c r="A108" s="57" t="s">
        <v>155</v>
      </c>
      <c r="B108" s="58"/>
      <c r="C108" s="59" t="s">
        <v>156</v>
      </c>
      <c r="D108" s="60" t="s">
        <v>127</v>
      </c>
      <c r="E108" s="63">
        <f>SUM(E112)</f>
        <v>269639</v>
      </c>
      <c r="F108" s="63"/>
      <c r="G108" s="63"/>
      <c r="H108" s="63"/>
      <c r="I108" s="63">
        <f>SUM(I112)</f>
        <v>269639</v>
      </c>
      <c r="J108" s="63"/>
      <c r="K108" s="63">
        <f>SUM(K112)</f>
        <v>269639</v>
      </c>
      <c r="L108" s="63"/>
      <c r="M108" s="63"/>
      <c r="N108" s="54"/>
    </row>
    <row r="109" spans="1:14" ht="20.25" customHeight="1">
      <c r="A109" s="49"/>
      <c r="B109" s="49"/>
      <c r="C109" s="50"/>
      <c r="D109" s="62" t="s">
        <v>128</v>
      </c>
      <c r="E109" s="61"/>
      <c r="F109" s="63"/>
      <c r="G109" s="63"/>
      <c r="H109" s="63"/>
      <c r="I109" s="61"/>
      <c r="J109" s="61"/>
      <c r="K109" s="61"/>
      <c r="L109" s="63"/>
      <c r="M109" s="52"/>
      <c r="N109" s="54"/>
    </row>
    <row r="110" spans="1:14" ht="20.25" customHeight="1">
      <c r="A110" s="49"/>
      <c r="B110" s="49"/>
      <c r="C110" s="50"/>
      <c r="D110" s="62" t="s">
        <v>129</v>
      </c>
      <c r="E110" s="63"/>
      <c r="F110" s="63"/>
      <c r="G110" s="63"/>
      <c r="H110" s="63"/>
      <c r="I110" s="63"/>
      <c r="J110" s="63"/>
      <c r="K110" s="63"/>
      <c r="L110" s="63"/>
      <c r="M110" s="52"/>
      <c r="N110" s="54"/>
    </row>
    <row r="111" spans="1:14" ht="20.25" customHeight="1">
      <c r="A111" s="55"/>
      <c r="B111" s="55"/>
      <c r="C111" s="56"/>
      <c r="D111" s="51" t="s">
        <v>131</v>
      </c>
      <c r="E111" s="52">
        <f>SUM(E115)</f>
        <v>269639</v>
      </c>
      <c r="F111" s="52"/>
      <c r="G111" s="52"/>
      <c r="H111" s="52"/>
      <c r="I111" s="52">
        <f>SUM(I115)</f>
        <v>269639</v>
      </c>
      <c r="J111" s="52"/>
      <c r="K111" s="52">
        <f>SUM(K115)</f>
        <v>269639</v>
      </c>
      <c r="L111" s="52"/>
      <c r="M111" s="52"/>
      <c r="N111" s="54"/>
    </row>
    <row r="112" spans="1:14" ht="20.25" customHeight="1">
      <c r="A112" s="57"/>
      <c r="B112" s="58" t="s">
        <v>157</v>
      </c>
      <c r="C112" s="314" t="s">
        <v>158</v>
      </c>
      <c r="D112" s="62" t="s">
        <v>127</v>
      </c>
      <c r="E112" s="61">
        <f>SUM(I112,M112)</f>
        <v>269639</v>
      </c>
      <c r="F112" s="61"/>
      <c r="G112" s="61"/>
      <c r="H112" s="61"/>
      <c r="I112" s="61">
        <f>SUM(K112,J112)</f>
        <v>269639</v>
      </c>
      <c r="J112" s="61"/>
      <c r="K112" s="61">
        <f>207551+62088</f>
        <v>269639</v>
      </c>
      <c r="L112" s="61"/>
      <c r="M112" s="53"/>
      <c r="N112" s="54"/>
    </row>
    <row r="113" spans="1:14" ht="20.25" customHeight="1">
      <c r="A113" s="49"/>
      <c r="B113" s="49"/>
      <c r="C113" s="311"/>
      <c r="D113" s="62" t="s">
        <v>128</v>
      </c>
      <c r="E113" s="61"/>
      <c r="F113" s="61"/>
      <c r="G113" s="61"/>
      <c r="H113" s="61"/>
      <c r="I113" s="61"/>
      <c r="J113" s="61"/>
      <c r="K113" s="61"/>
      <c r="L113" s="61"/>
      <c r="M113" s="53"/>
      <c r="N113" s="54"/>
    </row>
    <row r="114" spans="1:14" ht="20.25" customHeight="1">
      <c r="A114" s="49"/>
      <c r="B114" s="49"/>
      <c r="C114" s="311"/>
      <c r="D114" s="62" t="s">
        <v>129</v>
      </c>
      <c r="E114" s="61"/>
      <c r="F114" s="61"/>
      <c r="G114" s="61"/>
      <c r="H114" s="61"/>
      <c r="I114" s="61"/>
      <c r="J114" s="61"/>
      <c r="K114" s="61"/>
      <c r="L114" s="61"/>
      <c r="M114" s="53"/>
      <c r="N114" s="54"/>
    </row>
    <row r="115" spans="1:14" ht="20.25" customHeight="1">
      <c r="A115" s="55"/>
      <c r="B115" s="55"/>
      <c r="C115" s="56"/>
      <c r="D115" s="51" t="s">
        <v>131</v>
      </c>
      <c r="E115" s="53">
        <f>SUM(E112,E113)-E114</f>
        <v>269639</v>
      </c>
      <c r="F115" s="53"/>
      <c r="G115" s="53"/>
      <c r="H115" s="53"/>
      <c r="I115" s="53">
        <f>SUM(I112,I113)-I114</f>
        <v>269639</v>
      </c>
      <c r="J115" s="53"/>
      <c r="K115" s="53">
        <f>SUM(K112,K113)-K114</f>
        <v>269639</v>
      </c>
      <c r="L115" s="53"/>
      <c r="M115" s="53"/>
      <c r="N115" s="54"/>
    </row>
    <row r="116" spans="1:14" ht="20.25" customHeight="1">
      <c r="A116" s="57" t="s">
        <v>159</v>
      </c>
      <c r="B116" s="58"/>
      <c r="C116" s="74" t="s">
        <v>74</v>
      </c>
      <c r="D116" s="62" t="s">
        <v>127</v>
      </c>
      <c r="E116" s="63">
        <f>SUM(E120)</f>
        <v>775783</v>
      </c>
      <c r="F116" s="63"/>
      <c r="G116" s="63"/>
      <c r="H116" s="63"/>
      <c r="I116" s="63">
        <f>SUM(I120)</f>
        <v>775783</v>
      </c>
      <c r="J116" s="63"/>
      <c r="K116" s="63">
        <f>SUM(K120)</f>
        <v>775783</v>
      </c>
      <c r="L116" s="61"/>
      <c r="M116" s="53"/>
      <c r="N116" s="54"/>
    </row>
    <row r="117" spans="1:14" ht="20.25" customHeight="1">
      <c r="A117" s="49"/>
      <c r="B117" s="49"/>
      <c r="C117" s="50"/>
      <c r="D117" s="62" t="s">
        <v>128</v>
      </c>
      <c r="E117" s="63">
        <f>SUM(E121)</f>
        <v>108417</v>
      </c>
      <c r="F117" s="63"/>
      <c r="G117" s="63"/>
      <c r="H117" s="63"/>
      <c r="I117" s="63">
        <f>SUM(I121)</f>
        <v>108417</v>
      </c>
      <c r="J117" s="63"/>
      <c r="K117" s="63">
        <f>SUM(K121)</f>
        <v>108417</v>
      </c>
      <c r="L117" s="61"/>
      <c r="M117" s="53"/>
      <c r="N117" s="54"/>
    </row>
    <row r="118" spans="1:14" ht="20.25" customHeight="1">
      <c r="A118" s="49"/>
      <c r="B118" s="49"/>
      <c r="C118" s="50"/>
      <c r="D118" s="62" t="s">
        <v>129</v>
      </c>
      <c r="E118" s="63">
        <f>SUM(E122)</f>
        <v>58332</v>
      </c>
      <c r="F118" s="63"/>
      <c r="G118" s="63"/>
      <c r="H118" s="63"/>
      <c r="I118" s="63">
        <f>SUM(I122)</f>
        <v>58332</v>
      </c>
      <c r="J118" s="63"/>
      <c r="K118" s="63">
        <f>SUM(K122)</f>
        <v>58332</v>
      </c>
      <c r="L118" s="61"/>
      <c r="M118" s="53"/>
      <c r="N118" s="54"/>
    </row>
    <row r="119" spans="1:14" ht="20.25" customHeight="1">
      <c r="A119" s="55"/>
      <c r="B119" s="55"/>
      <c r="C119" s="56"/>
      <c r="D119" s="51" t="s">
        <v>131</v>
      </c>
      <c r="E119" s="52">
        <f>SUM(E123)</f>
        <v>825868</v>
      </c>
      <c r="F119" s="52"/>
      <c r="G119" s="52"/>
      <c r="H119" s="52"/>
      <c r="I119" s="52">
        <f>SUM(I123)</f>
        <v>825868</v>
      </c>
      <c r="J119" s="52"/>
      <c r="K119" s="52">
        <f>SUM(K123)</f>
        <v>825868</v>
      </c>
      <c r="L119" s="53"/>
      <c r="M119" s="53"/>
      <c r="N119" s="54"/>
    </row>
    <row r="120" spans="1:14" ht="20.25" customHeight="1">
      <c r="A120" s="57"/>
      <c r="B120" s="58" t="s">
        <v>160</v>
      </c>
      <c r="C120" s="71" t="s">
        <v>161</v>
      </c>
      <c r="D120" s="62" t="s">
        <v>127</v>
      </c>
      <c r="E120" s="61">
        <f>SUM(M120,I120)</f>
        <v>775783</v>
      </c>
      <c r="F120" s="61"/>
      <c r="G120" s="61"/>
      <c r="H120" s="61"/>
      <c r="I120" s="61">
        <f>SUM(K120,J120)</f>
        <v>775783</v>
      </c>
      <c r="J120" s="61"/>
      <c r="K120" s="61">
        <v>775783</v>
      </c>
      <c r="L120" s="61"/>
      <c r="M120" s="53"/>
      <c r="N120" s="54"/>
    </row>
    <row r="121" spans="1:14" ht="20.25" customHeight="1">
      <c r="A121" s="49"/>
      <c r="B121" s="49"/>
      <c r="C121" s="50"/>
      <c r="D121" s="62" t="s">
        <v>128</v>
      </c>
      <c r="E121" s="61">
        <f>SUM(M121,I121)</f>
        <v>108417</v>
      </c>
      <c r="F121" s="61"/>
      <c r="G121" s="61"/>
      <c r="H121" s="61"/>
      <c r="I121" s="61">
        <f>SUM(K121,J121)</f>
        <v>108417</v>
      </c>
      <c r="J121" s="61"/>
      <c r="K121" s="61">
        <v>108417</v>
      </c>
      <c r="L121" s="61"/>
      <c r="M121" s="53"/>
      <c r="N121" s="54"/>
    </row>
    <row r="122" spans="1:14" ht="20.25" customHeight="1">
      <c r="A122" s="49"/>
      <c r="B122" s="49"/>
      <c r="C122" s="50"/>
      <c r="D122" s="62" t="s">
        <v>129</v>
      </c>
      <c r="E122" s="61">
        <f>SUM(M122,I122)</f>
        <v>58332</v>
      </c>
      <c r="F122" s="61"/>
      <c r="G122" s="61"/>
      <c r="H122" s="61"/>
      <c r="I122" s="61">
        <f>SUM(K122,J122)</f>
        <v>58332</v>
      </c>
      <c r="J122" s="61"/>
      <c r="K122" s="61">
        <f>3*19444</f>
        <v>58332</v>
      </c>
      <c r="L122" s="61"/>
      <c r="M122" s="53"/>
      <c r="N122" s="54"/>
    </row>
    <row r="123" spans="1:14" ht="20.25" customHeight="1">
      <c r="A123" s="55"/>
      <c r="B123" s="55"/>
      <c r="C123" s="56"/>
      <c r="D123" s="51" t="s">
        <v>131</v>
      </c>
      <c r="E123" s="53">
        <f>SUM(M123,I123)</f>
        <v>825868</v>
      </c>
      <c r="F123" s="53"/>
      <c r="G123" s="53"/>
      <c r="H123" s="53"/>
      <c r="I123" s="53">
        <f>SUM(I120,I121)-I122</f>
        <v>825868</v>
      </c>
      <c r="J123" s="53"/>
      <c r="K123" s="53">
        <f>SUM(K120,K121)-K122</f>
        <v>825868</v>
      </c>
      <c r="L123" s="53"/>
      <c r="M123" s="53"/>
      <c r="N123" s="54"/>
    </row>
    <row r="124" spans="1:14" ht="20.25" customHeight="1">
      <c r="A124" s="57" t="s">
        <v>162</v>
      </c>
      <c r="B124" s="58"/>
      <c r="C124" s="74" t="s">
        <v>77</v>
      </c>
      <c r="D124" s="62" t="s">
        <v>127</v>
      </c>
      <c r="E124" s="63">
        <f>SUM(E128,E132,E136,E140,E144,E148,E152)</f>
        <v>14106933</v>
      </c>
      <c r="F124" s="63"/>
      <c r="G124" s="63"/>
      <c r="H124" s="75"/>
      <c r="I124" s="63">
        <f>SUM(I128,I132,I136,I140,I144,I148,I152)</f>
        <v>14106933</v>
      </c>
      <c r="J124" s="63">
        <f>SUM(J128,J132,J136,J140,J144,J148,J152)</f>
        <v>12046527</v>
      </c>
      <c r="K124" s="63">
        <f>SUM(K128,K132,K136,K140,K144,K148,K152)</f>
        <v>1718406</v>
      </c>
      <c r="L124" s="63">
        <f>SUM(L128,L132,L136,L140,L144,L148,L152)</f>
        <v>342000</v>
      </c>
      <c r="M124" s="63"/>
      <c r="N124" s="54"/>
    </row>
    <row r="125" spans="1:14" ht="20.25" customHeight="1">
      <c r="A125" s="49"/>
      <c r="B125" s="49"/>
      <c r="C125" s="50"/>
      <c r="D125" s="62" t="s">
        <v>128</v>
      </c>
      <c r="E125" s="63">
        <f>SUM(E129,E133,E137,E141,E145,E149,E153)</f>
        <v>32868</v>
      </c>
      <c r="F125" s="63"/>
      <c r="G125" s="63"/>
      <c r="H125" s="63"/>
      <c r="I125" s="63">
        <f>SUM(I129,I133,I137,I141,I145,I149,I153)</f>
        <v>32868</v>
      </c>
      <c r="J125" s="63">
        <f>SUM(J129,J133,J137,J141,J145,J149,J153)</f>
        <v>12582</v>
      </c>
      <c r="K125" s="63">
        <f>SUM(K129,K133,K137,K141,K145,K149,K153)</f>
        <v>20286</v>
      </c>
      <c r="L125" s="63"/>
      <c r="M125" s="63"/>
      <c r="N125" s="54"/>
    </row>
    <row r="126" spans="1:14" ht="20.25" customHeight="1">
      <c r="A126" s="49"/>
      <c r="B126" s="49"/>
      <c r="C126" s="50"/>
      <c r="D126" s="62" t="s">
        <v>129</v>
      </c>
      <c r="E126" s="63">
        <f>SUM(E130,E134,E138,E142,E146,E150,E154)</f>
        <v>32868</v>
      </c>
      <c r="F126" s="63"/>
      <c r="G126" s="63"/>
      <c r="H126" s="63"/>
      <c r="I126" s="63">
        <f>SUM(I130,I134,I138,I142,I146,I150,I154)</f>
        <v>32868</v>
      </c>
      <c r="J126" s="63">
        <f>SUM(J130,J134,J138,J142,J146,J150,J154)</f>
        <v>32868</v>
      </c>
      <c r="K126" s="63"/>
      <c r="L126" s="63"/>
      <c r="M126" s="63"/>
      <c r="N126" s="54"/>
    </row>
    <row r="127" spans="1:14" ht="20.25" customHeight="1">
      <c r="A127" s="55"/>
      <c r="B127" s="55"/>
      <c r="C127" s="56"/>
      <c r="D127" s="51" t="s">
        <v>131</v>
      </c>
      <c r="E127" s="52">
        <f>SUM(E124:E125)-E126</f>
        <v>14106933</v>
      </c>
      <c r="F127" s="52"/>
      <c r="G127" s="52"/>
      <c r="H127" s="52"/>
      <c r="I127" s="52">
        <f>SUM(I124:I125)-I126</f>
        <v>14106933</v>
      </c>
      <c r="J127" s="52">
        <f>SUM(J124:J125)-J126</f>
        <v>12026241</v>
      </c>
      <c r="K127" s="63">
        <f>SUM(K131,K135,K139,K143,K147,K151,K155)</f>
        <v>1738692</v>
      </c>
      <c r="L127" s="52">
        <f>SUM(L131,L135,L139,L143,L151,L155)</f>
        <v>342000</v>
      </c>
      <c r="M127" s="52"/>
      <c r="N127" s="54"/>
    </row>
    <row r="128" spans="1:14" ht="20.25" customHeight="1">
      <c r="A128" s="57"/>
      <c r="B128" s="58" t="s">
        <v>163</v>
      </c>
      <c r="C128" s="71" t="s">
        <v>164</v>
      </c>
      <c r="D128" s="62" t="s">
        <v>127</v>
      </c>
      <c r="E128" s="61">
        <f aca="true" t="shared" si="3" ref="E128:E136">SUM(I128,M128)</f>
        <v>580293</v>
      </c>
      <c r="F128" s="61"/>
      <c r="G128" s="61"/>
      <c r="H128" s="61"/>
      <c r="I128" s="61">
        <f>SUM(J128,K128,L128)</f>
        <v>580293</v>
      </c>
      <c r="J128" s="61">
        <v>559085</v>
      </c>
      <c r="K128" s="61">
        <f>19872+1336</f>
        <v>21208</v>
      </c>
      <c r="L128" s="61"/>
      <c r="M128" s="53"/>
      <c r="N128" s="54"/>
    </row>
    <row r="129" spans="1:14" ht="20.25" customHeight="1">
      <c r="A129" s="49"/>
      <c r="B129" s="49"/>
      <c r="C129" s="50"/>
      <c r="D129" s="62" t="s">
        <v>128</v>
      </c>
      <c r="E129" s="61"/>
      <c r="F129" s="61"/>
      <c r="G129" s="61"/>
      <c r="H129" s="61"/>
      <c r="I129" s="61"/>
      <c r="J129" s="61"/>
      <c r="K129" s="61"/>
      <c r="L129" s="61"/>
      <c r="M129" s="53"/>
      <c r="N129" s="54"/>
    </row>
    <row r="130" spans="1:14" ht="20.25" customHeight="1">
      <c r="A130" s="49"/>
      <c r="B130" s="49"/>
      <c r="C130" s="50"/>
      <c r="D130" s="62" t="s">
        <v>129</v>
      </c>
      <c r="E130" s="61"/>
      <c r="F130" s="61"/>
      <c r="G130" s="61"/>
      <c r="H130" s="61"/>
      <c r="I130" s="61"/>
      <c r="J130" s="61"/>
      <c r="K130" s="61"/>
      <c r="L130" s="61"/>
      <c r="M130" s="53"/>
      <c r="N130" s="54"/>
    </row>
    <row r="131" spans="1:14" ht="20.25" customHeight="1">
      <c r="A131" s="55"/>
      <c r="B131" s="55"/>
      <c r="C131" s="56"/>
      <c r="D131" s="51" t="s">
        <v>131</v>
      </c>
      <c r="E131" s="53">
        <f t="shared" si="3"/>
        <v>580293</v>
      </c>
      <c r="F131" s="53"/>
      <c r="G131" s="53"/>
      <c r="H131" s="53"/>
      <c r="I131" s="53">
        <f>SUM(J131,K131,L131)</f>
        <v>580293</v>
      </c>
      <c r="J131" s="53">
        <f>SUM(J128,J129)-J130</f>
        <v>559085</v>
      </c>
      <c r="K131" s="53">
        <f>SUM(K128,K129)-K130</f>
        <v>21208</v>
      </c>
      <c r="L131" s="53"/>
      <c r="M131" s="53"/>
      <c r="N131" s="54"/>
    </row>
    <row r="132" spans="1:14" ht="20.25" customHeight="1">
      <c r="A132" s="57"/>
      <c r="B132" s="58" t="s">
        <v>165</v>
      </c>
      <c r="C132" s="71" t="s">
        <v>166</v>
      </c>
      <c r="D132" s="62" t="s">
        <v>127</v>
      </c>
      <c r="E132" s="61">
        <f t="shared" si="3"/>
        <v>553298</v>
      </c>
      <c r="F132" s="61"/>
      <c r="G132" s="61"/>
      <c r="H132" s="61"/>
      <c r="I132" s="61">
        <f>SUM(J132,K132,L132)</f>
        <v>553298</v>
      </c>
      <c r="J132" s="61">
        <v>538855</v>
      </c>
      <c r="K132" s="61">
        <f>1267+13176</f>
        <v>14443</v>
      </c>
      <c r="L132" s="61"/>
      <c r="M132" s="53"/>
      <c r="N132" s="54"/>
    </row>
    <row r="133" spans="1:14" ht="20.25" customHeight="1">
      <c r="A133" s="49"/>
      <c r="B133" s="49"/>
      <c r="C133" s="50"/>
      <c r="D133" s="62" t="s">
        <v>128</v>
      </c>
      <c r="E133" s="61"/>
      <c r="F133" s="61"/>
      <c r="G133" s="61"/>
      <c r="H133" s="61"/>
      <c r="I133" s="61"/>
      <c r="J133" s="61"/>
      <c r="K133" s="61"/>
      <c r="L133" s="61"/>
      <c r="M133" s="53"/>
      <c r="N133" s="54"/>
    </row>
    <row r="134" spans="1:14" ht="20.25" customHeight="1">
      <c r="A134" s="49"/>
      <c r="B134" s="49"/>
      <c r="C134" s="50"/>
      <c r="D134" s="62" t="s">
        <v>129</v>
      </c>
      <c r="E134" s="61"/>
      <c r="F134" s="61"/>
      <c r="G134" s="61"/>
      <c r="H134" s="61"/>
      <c r="I134" s="61"/>
      <c r="J134" s="61"/>
      <c r="K134" s="61"/>
      <c r="L134" s="61"/>
      <c r="M134" s="53"/>
      <c r="N134" s="54"/>
    </row>
    <row r="135" spans="1:14" ht="20.25" customHeight="1">
      <c r="A135" s="55"/>
      <c r="B135" s="55"/>
      <c r="C135" s="56"/>
      <c r="D135" s="51" t="s">
        <v>131</v>
      </c>
      <c r="E135" s="53">
        <f t="shared" si="3"/>
        <v>553298</v>
      </c>
      <c r="F135" s="53"/>
      <c r="G135" s="53"/>
      <c r="H135" s="53"/>
      <c r="I135" s="53">
        <f>SUM(J135,K135,L135)</f>
        <v>553298</v>
      </c>
      <c r="J135" s="53">
        <f>SUM(J132,J133,)-J134</f>
        <v>538855</v>
      </c>
      <c r="K135" s="53">
        <f>SUM(K132,K133,)-K134</f>
        <v>14443</v>
      </c>
      <c r="L135" s="53"/>
      <c r="M135" s="53"/>
      <c r="N135" s="54"/>
    </row>
    <row r="136" spans="1:14" ht="20.25" customHeight="1">
      <c r="A136" s="57"/>
      <c r="B136" s="58" t="s">
        <v>167</v>
      </c>
      <c r="C136" s="71" t="s">
        <v>78</v>
      </c>
      <c r="D136" s="62" t="s">
        <v>127</v>
      </c>
      <c r="E136" s="61">
        <f t="shared" si="3"/>
        <v>1487097</v>
      </c>
      <c r="F136" s="61"/>
      <c r="G136" s="61"/>
      <c r="H136" s="61"/>
      <c r="I136" s="61">
        <f>SUM(J136,K136,L136)</f>
        <v>1487097</v>
      </c>
      <c r="J136" s="61">
        <v>1328778</v>
      </c>
      <c r="K136" s="61">
        <f>92634+56807+8878</f>
        <v>158319</v>
      </c>
      <c r="L136" s="61"/>
      <c r="M136" s="53"/>
      <c r="N136" s="54"/>
    </row>
    <row r="137" spans="1:14" ht="20.25" customHeight="1">
      <c r="A137" s="49"/>
      <c r="B137" s="49"/>
      <c r="C137" s="50"/>
      <c r="D137" s="62" t="s">
        <v>128</v>
      </c>
      <c r="E137" s="61"/>
      <c r="F137" s="61"/>
      <c r="G137" s="61"/>
      <c r="H137" s="61"/>
      <c r="I137" s="61"/>
      <c r="J137" s="61"/>
      <c r="K137" s="61"/>
      <c r="L137" s="61"/>
      <c r="M137" s="53"/>
      <c r="N137" s="54"/>
    </row>
    <row r="138" spans="1:14" ht="20.25" customHeight="1">
      <c r="A138" s="49"/>
      <c r="B138" s="49"/>
      <c r="C138" s="50"/>
      <c r="D138" s="62" t="s">
        <v>129</v>
      </c>
      <c r="E138" s="61"/>
      <c r="F138" s="61"/>
      <c r="G138" s="61"/>
      <c r="H138" s="61"/>
      <c r="I138" s="61"/>
      <c r="J138" s="61"/>
      <c r="K138" s="61"/>
      <c r="L138" s="61"/>
      <c r="M138" s="53"/>
      <c r="N138" s="54"/>
    </row>
    <row r="139" spans="1:14" ht="20.25" customHeight="1">
      <c r="A139" s="55"/>
      <c r="B139" s="55"/>
      <c r="C139" s="56"/>
      <c r="D139" s="51" t="s">
        <v>131</v>
      </c>
      <c r="E139" s="53">
        <f aca="true" t="shared" si="4" ref="E139:E144">SUM(I139,M139)</f>
        <v>1487097</v>
      </c>
      <c r="F139" s="53"/>
      <c r="G139" s="53"/>
      <c r="H139" s="53"/>
      <c r="I139" s="53">
        <f aca="true" t="shared" si="5" ref="I139:I144">SUM(J139,K139,L139)</f>
        <v>1487097</v>
      </c>
      <c r="J139" s="53">
        <f>SUM(J136:J137)-J138</f>
        <v>1328778</v>
      </c>
      <c r="K139" s="53">
        <f>SUM(K136:K137)-K138</f>
        <v>158319</v>
      </c>
      <c r="L139" s="53"/>
      <c r="M139" s="53"/>
      <c r="N139" s="54"/>
    </row>
    <row r="140" spans="1:14" ht="20.25" customHeight="1">
      <c r="A140" s="57"/>
      <c r="B140" s="58" t="s">
        <v>168</v>
      </c>
      <c r="C140" s="71" t="s">
        <v>80</v>
      </c>
      <c r="D140" s="62" t="s">
        <v>127</v>
      </c>
      <c r="E140" s="61">
        <f t="shared" si="4"/>
        <v>11106995</v>
      </c>
      <c r="F140" s="61"/>
      <c r="G140" s="61"/>
      <c r="H140" s="61"/>
      <c r="I140" s="61">
        <f t="shared" si="5"/>
        <v>11106995</v>
      </c>
      <c r="J140" s="61">
        <f>12969+1940152+1521425+2143489+2075000+1734651</f>
        <v>9427686</v>
      </c>
      <c r="K140" s="61">
        <v>1337309</v>
      </c>
      <c r="L140" s="61">
        <f>95000+30000+57000+70000+90000</f>
        <v>342000</v>
      </c>
      <c r="M140" s="61"/>
      <c r="N140" s="54"/>
    </row>
    <row r="141" spans="1:14" ht="20.25" customHeight="1">
      <c r="A141" s="49"/>
      <c r="B141" s="49"/>
      <c r="C141" s="50"/>
      <c r="D141" s="62" t="s">
        <v>128</v>
      </c>
      <c r="E141" s="61">
        <f t="shared" si="4"/>
        <v>32868</v>
      </c>
      <c r="F141" s="61"/>
      <c r="G141" s="61"/>
      <c r="H141" s="61"/>
      <c r="I141" s="61">
        <f t="shared" si="5"/>
        <v>32868</v>
      </c>
      <c r="J141" s="61">
        <v>12582</v>
      </c>
      <c r="K141" s="61">
        <v>20286</v>
      </c>
      <c r="L141" s="61"/>
      <c r="M141" s="53"/>
      <c r="N141" s="54"/>
    </row>
    <row r="142" spans="1:14" ht="20.25" customHeight="1">
      <c r="A142" s="49"/>
      <c r="B142" s="49"/>
      <c r="C142" s="50"/>
      <c r="D142" s="62" t="s">
        <v>129</v>
      </c>
      <c r="E142" s="61">
        <f t="shared" si="4"/>
        <v>32868</v>
      </c>
      <c r="F142" s="61"/>
      <c r="G142" s="61"/>
      <c r="H142" s="61"/>
      <c r="I142" s="61">
        <f t="shared" si="5"/>
        <v>32868</v>
      </c>
      <c r="J142" s="61">
        <v>32868</v>
      </c>
      <c r="K142" s="61"/>
      <c r="L142" s="61"/>
      <c r="M142" s="53"/>
      <c r="N142" s="54"/>
    </row>
    <row r="143" spans="1:14" ht="20.25" customHeight="1">
      <c r="A143" s="55"/>
      <c r="B143" s="55"/>
      <c r="C143" s="56"/>
      <c r="D143" s="51" t="s">
        <v>131</v>
      </c>
      <c r="E143" s="53">
        <f t="shared" si="4"/>
        <v>11106995</v>
      </c>
      <c r="F143" s="53"/>
      <c r="G143" s="53"/>
      <c r="H143" s="53"/>
      <c r="I143" s="53">
        <f t="shared" si="5"/>
        <v>11106995</v>
      </c>
      <c r="J143" s="53">
        <f>SUM(J140,J141)-J142</f>
        <v>9407400</v>
      </c>
      <c r="K143" s="53">
        <f>SUM(K140,K141)-K142</f>
        <v>1357595</v>
      </c>
      <c r="L143" s="53">
        <f>SUM(L140,L141)-L142</f>
        <v>342000</v>
      </c>
      <c r="M143" s="53"/>
      <c r="N143" s="54"/>
    </row>
    <row r="144" spans="1:14" ht="20.25" customHeight="1">
      <c r="A144" s="57"/>
      <c r="B144" s="58" t="s">
        <v>169</v>
      </c>
      <c r="C144" s="314" t="s">
        <v>170</v>
      </c>
      <c r="D144" s="62" t="s">
        <v>127</v>
      </c>
      <c r="E144" s="61">
        <f t="shared" si="4"/>
        <v>197950</v>
      </c>
      <c r="F144" s="61"/>
      <c r="G144" s="61"/>
      <c r="H144" s="61"/>
      <c r="I144" s="61">
        <f t="shared" si="5"/>
        <v>197950</v>
      </c>
      <c r="J144" s="61">
        <v>192123</v>
      </c>
      <c r="K144" s="61">
        <f>5373+454</f>
        <v>5827</v>
      </c>
      <c r="L144" s="61"/>
      <c r="M144" s="53"/>
      <c r="N144" s="54"/>
    </row>
    <row r="145" spans="1:14" ht="20.25" customHeight="1">
      <c r="A145" s="49"/>
      <c r="B145" s="49"/>
      <c r="C145" s="311"/>
      <c r="D145" s="62" t="s">
        <v>128</v>
      </c>
      <c r="E145" s="61"/>
      <c r="F145" s="61"/>
      <c r="G145" s="61"/>
      <c r="H145" s="61"/>
      <c r="I145" s="61"/>
      <c r="J145" s="61"/>
      <c r="K145" s="61"/>
      <c r="L145" s="61"/>
      <c r="M145" s="53"/>
      <c r="N145" s="54"/>
    </row>
    <row r="146" spans="1:14" ht="20.25" customHeight="1">
      <c r="A146" s="49"/>
      <c r="B146" s="49"/>
      <c r="C146" s="50"/>
      <c r="D146" s="62" t="s">
        <v>129</v>
      </c>
      <c r="E146" s="61"/>
      <c r="F146" s="61"/>
      <c r="G146" s="61"/>
      <c r="H146" s="61"/>
      <c r="I146" s="61"/>
      <c r="J146" s="61"/>
      <c r="K146" s="61"/>
      <c r="L146" s="61"/>
      <c r="M146" s="53"/>
      <c r="N146" s="54"/>
    </row>
    <row r="147" spans="1:14" ht="20.25" customHeight="1">
      <c r="A147" s="49"/>
      <c r="B147" s="49"/>
      <c r="C147" s="50"/>
      <c r="D147" s="62" t="s">
        <v>131</v>
      </c>
      <c r="E147" s="61">
        <f>SUM(I147,M147)</f>
        <v>197950</v>
      </c>
      <c r="F147" s="61"/>
      <c r="G147" s="61"/>
      <c r="H147" s="61"/>
      <c r="I147" s="61">
        <f>SUM(J147,K147,L147)</f>
        <v>197950</v>
      </c>
      <c r="J147" s="61">
        <f>SUM(J144,J145,)-J146</f>
        <v>192123</v>
      </c>
      <c r="K147" s="61">
        <f>SUM(K144,K145,)-K146</f>
        <v>5827</v>
      </c>
      <c r="L147" s="61"/>
      <c r="M147" s="53"/>
      <c r="N147" s="54"/>
    </row>
    <row r="148" spans="1:14" ht="20.25" customHeight="1">
      <c r="A148" s="57"/>
      <c r="B148" s="58" t="s">
        <v>171</v>
      </c>
      <c r="C148" s="314" t="s">
        <v>172</v>
      </c>
      <c r="D148" s="62" t="s">
        <v>127</v>
      </c>
      <c r="E148" s="61">
        <f>SUM(I148,M148)</f>
        <v>78200</v>
      </c>
      <c r="F148" s="61"/>
      <c r="G148" s="61"/>
      <c r="H148" s="61"/>
      <c r="I148" s="61">
        <f>SUM(J148,K148,L148)</f>
        <v>78200</v>
      </c>
      <c r="J148" s="61"/>
      <c r="K148" s="61">
        <v>78200</v>
      </c>
      <c r="L148" s="61"/>
      <c r="M148" s="53"/>
      <c r="N148" s="54"/>
    </row>
    <row r="149" spans="1:14" ht="20.25" customHeight="1">
      <c r="A149" s="49"/>
      <c r="B149" s="49"/>
      <c r="C149" s="311"/>
      <c r="D149" s="62" t="s">
        <v>128</v>
      </c>
      <c r="E149" s="61"/>
      <c r="F149" s="61"/>
      <c r="G149" s="61"/>
      <c r="H149" s="61"/>
      <c r="I149" s="61"/>
      <c r="J149" s="61"/>
      <c r="K149" s="61"/>
      <c r="L149" s="61"/>
      <c r="M149" s="53"/>
      <c r="N149" s="54"/>
    </row>
    <row r="150" spans="1:14" ht="20.25" customHeight="1">
      <c r="A150" s="49"/>
      <c r="B150" s="49"/>
      <c r="C150" s="50"/>
      <c r="D150" s="62" t="s">
        <v>129</v>
      </c>
      <c r="E150" s="61"/>
      <c r="F150" s="61"/>
      <c r="G150" s="61"/>
      <c r="H150" s="61"/>
      <c r="I150" s="61"/>
      <c r="J150" s="61"/>
      <c r="K150" s="61"/>
      <c r="L150" s="61"/>
      <c r="M150" s="53"/>
      <c r="N150" s="54"/>
    </row>
    <row r="151" spans="1:14" ht="20.25" customHeight="1">
      <c r="A151" s="55"/>
      <c r="B151" s="55"/>
      <c r="C151" s="56"/>
      <c r="D151" s="51" t="s">
        <v>131</v>
      </c>
      <c r="E151" s="53">
        <f>SUM(I151,M151)</f>
        <v>78200</v>
      </c>
      <c r="F151" s="53"/>
      <c r="G151" s="53"/>
      <c r="H151" s="53"/>
      <c r="I151" s="53">
        <f>SUM(J151,K151,L151)</f>
        <v>78200</v>
      </c>
      <c r="J151" s="53"/>
      <c r="K151" s="53">
        <f>SUM(K148,K149,)-K150</f>
        <v>78200</v>
      </c>
      <c r="L151" s="53"/>
      <c r="M151" s="53"/>
      <c r="N151" s="54"/>
    </row>
    <row r="152" spans="1:14" ht="20.25" customHeight="1">
      <c r="A152" s="57"/>
      <c r="B152" s="58" t="s">
        <v>173</v>
      </c>
      <c r="C152" s="71" t="s">
        <v>81</v>
      </c>
      <c r="D152" s="62" t="s">
        <v>127</v>
      </c>
      <c r="E152" s="61">
        <f>SUM(I152,M152)</f>
        <v>103100</v>
      </c>
      <c r="F152" s="61"/>
      <c r="G152" s="61"/>
      <c r="H152" s="61"/>
      <c r="I152" s="61">
        <f>SUM(J152:K152)</f>
        <v>103100</v>
      </c>
      <c r="J152" s="61"/>
      <c r="K152" s="61">
        <f>100000+3100</f>
        <v>103100</v>
      </c>
      <c r="L152" s="61"/>
      <c r="M152" s="53"/>
      <c r="N152" s="54"/>
    </row>
    <row r="153" spans="1:14" ht="20.25" customHeight="1">
      <c r="A153" s="49"/>
      <c r="B153" s="49"/>
      <c r="C153" s="50"/>
      <c r="D153" s="62" t="s">
        <v>128</v>
      </c>
      <c r="E153" s="61"/>
      <c r="F153" s="61"/>
      <c r="G153" s="61"/>
      <c r="H153" s="61"/>
      <c r="I153" s="61"/>
      <c r="J153" s="61"/>
      <c r="K153" s="61"/>
      <c r="L153" s="61"/>
      <c r="M153" s="53"/>
      <c r="N153" s="54"/>
    </row>
    <row r="154" spans="1:14" ht="20.25" customHeight="1">
      <c r="A154" s="49"/>
      <c r="B154" s="49"/>
      <c r="C154" s="50"/>
      <c r="D154" s="62" t="s">
        <v>129</v>
      </c>
      <c r="E154" s="61"/>
      <c r="F154" s="61"/>
      <c r="G154" s="61"/>
      <c r="H154" s="61"/>
      <c r="I154" s="61"/>
      <c r="J154" s="61"/>
      <c r="K154" s="61"/>
      <c r="L154" s="61"/>
      <c r="M154" s="53"/>
      <c r="N154" s="54"/>
    </row>
    <row r="155" spans="1:14" ht="20.25" customHeight="1">
      <c r="A155" s="55"/>
      <c r="B155" s="55"/>
      <c r="C155" s="56"/>
      <c r="D155" s="51" t="s">
        <v>131</v>
      </c>
      <c r="E155" s="53">
        <f>SUM(I155,M155)</f>
        <v>103100</v>
      </c>
      <c r="F155" s="53"/>
      <c r="G155" s="53"/>
      <c r="H155" s="53"/>
      <c r="I155" s="53">
        <f>SUM(J155,K155,L155)</f>
        <v>103100</v>
      </c>
      <c r="J155" s="53"/>
      <c r="K155" s="53">
        <f>SUM(K152,K153)-K154</f>
        <v>103100</v>
      </c>
      <c r="L155" s="53"/>
      <c r="M155" s="53"/>
      <c r="N155" s="54"/>
    </row>
    <row r="156" spans="1:14" ht="20.25" customHeight="1">
      <c r="A156" s="57" t="s">
        <v>174</v>
      </c>
      <c r="B156" s="58"/>
      <c r="C156" s="74" t="s">
        <v>83</v>
      </c>
      <c r="D156" s="62" t="s">
        <v>127</v>
      </c>
      <c r="E156" s="63">
        <f>SUM(E160,E164,E168,E172)</f>
        <v>1198560</v>
      </c>
      <c r="F156" s="63">
        <f>SUM(F160,F164,F168,F172)</f>
        <v>1094760</v>
      </c>
      <c r="G156" s="63"/>
      <c r="H156" s="63"/>
      <c r="I156" s="63">
        <f>SUM(I160,I164,I168,I172)</f>
        <v>1198560</v>
      </c>
      <c r="J156" s="63"/>
      <c r="K156" s="63">
        <f>SUM(K160,K164,K168,K172)</f>
        <v>1095160</v>
      </c>
      <c r="L156" s="63">
        <f>SUM(L160,L164)</f>
        <v>103400</v>
      </c>
      <c r="M156" s="63"/>
      <c r="N156" s="54"/>
    </row>
    <row r="157" spans="1:14" ht="20.25" customHeight="1">
      <c r="A157" s="49"/>
      <c r="B157" s="49"/>
      <c r="C157" s="50"/>
      <c r="D157" s="62" t="s">
        <v>128</v>
      </c>
      <c r="E157" s="63"/>
      <c r="F157" s="63"/>
      <c r="G157" s="63"/>
      <c r="H157" s="63"/>
      <c r="I157" s="63"/>
      <c r="J157" s="63"/>
      <c r="K157" s="63"/>
      <c r="L157" s="63">
        <f>L161</f>
        <v>0</v>
      </c>
      <c r="M157" s="63"/>
      <c r="N157" s="54"/>
    </row>
    <row r="158" spans="1:14" ht="20.25" customHeight="1">
      <c r="A158" s="49"/>
      <c r="B158" s="49"/>
      <c r="C158" s="50"/>
      <c r="D158" s="62" t="s">
        <v>129</v>
      </c>
      <c r="E158" s="63"/>
      <c r="F158" s="63"/>
      <c r="G158" s="63"/>
      <c r="H158" s="63"/>
      <c r="I158" s="63"/>
      <c r="J158" s="63"/>
      <c r="K158" s="63"/>
      <c r="L158" s="63"/>
      <c r="M158" s="63"/>
      <c r="N158" s="54"/>
    </row>
    <row r="159" spans="1:14" ht="20.25" customHeight="1">
      <c r="A159" s="49"/>
      <c r="B159" s="49"/>
      <c r="C159" s="50"/>
      <c r="D159" s="62" t="s">
        <v>131</v>
      </c>
      <c r="E159" s="63">
        <f>SUM(E163,E167,E171,E175)</f>
        <v>1198560</v>
      </c>
      <c r="F159" s="63">
        <f>SUM(F162,F167,F171,F175)</f>
        <v>1094760</v>
      </c>
      <c r="G159" s="63"/>
      <c r="H159" s="63"/>
      <c r="I159" s="63">
        <f>SUM(J159:L159)</f>
        <v>1198560</v>
      </c>
      <c r="J159" s="63"/>
      <c r="K159" s="63">
        <f>SUM(K163,K167,K171,K175)</f>
        <v>1095160</v>
      </c>
      <c r="L159" s="63">
        <f>SUM(L163,L167,L171,L175)</f>
        <v>103400</v>
      </c>
      <c r="M159" s="63"/>
      <c r="N159" s="54"/>
    </row>
    <row r="160" spans="1:14" ht="20.25" customHeight="1">
      <c r="A160" s="57"/>
      <c r="B160" s="58" t="s">
        <v>175</v>
      </c>
      <c r="C160" s="334" t="s">
        <v>176</v>
      </c>
      <c r="D160" s="62" t="s">
        <v>127</v>
      </c>
      <c r="E160" s="61">
        <f>SUM(I160,M160)</f>
        <v>103400</v>
      </c>
      <c r="F160" s="61"/>
      <c r="G160" s="61"/>
      <c r="H160" s="61"/>
      <c r="I160" s="61">
        <f>SUM(J160:L160)</f>
        <v>103400</v>
      </c>
      <c r="J160" s="61"/>
      <c r="K160" s="61"/>
      <c r="L160" s="61">
        <v>103400</v>
      </c>
      <c r="M160" s="53"/>
      <c r="N160" s="54"/>
    </row>
    <row r="161" spans="1:14" ht="20.25" customHeight="1">
      <c r="A161" s="49"/>
      <c r="B161" s="49"/>
      <c r="C161" s="335"/>
      <c r="D161" s="62" t="s">
        <v>128</v>
      </c>
      <c r="E161" s="61"/>
      <c r="F161" s="61"/>
      <c r="G161" s="61"/>
      <c r="H161" s="61"/>
      <c r="I161" s="61"/>
      <c r="J161" s="61"/>
      <c r="K161" s="61"/>
      <c r="L161" s="61"/>
      <c r="M161" s="53"/>
      <c r="N161" s="54"/>
    </row>
    <row r="162" spans="1:14" ht="20.25" customHeight="1">
      <c r="A162" s="49"/>
      <c r="B162" s="49"/>
      <c r="C162" s="335"/>
      <c r="D162" s="62" t="s">
        <v>129</v>
      </c>
      <c r="E162" s="61"/>
      <c r="F162" s="61"/>
      <c r="G162" s="61"/>
      <c r="H162" s="61"/>
      <c r="I162" s="61"/>
      <c r="J162" s="61"/>
      <c r="K162" s="61"/>
      <c r="L162" s="61"/>
      <c r="M162" s="53"/>
      <c r="N162" s="54"/>
    </row>
    <row r="163" spans="1:14" ht="20.25" customHeight="1">
      <c r="A163" s="55"/>
      <c r="B163" s="55"/>
      <c r="C163" s="336"/>
      <c r="D163" s="51" t="s">
        <v>131</v>
      </c>
      <c r="E163" s="53">
        <f>SUM(I163,M163)</f>
        <v>103400</v>
      </c>
      <c r="F163" s="53"/>
      <c r="G163" s="53"/>
      <c r="H163" s="53"/>
      <c r="I163" s="61">
        <f>SUM(J163:L163)</f>
        <v>103400</v>
      </c>
      <c r="J163" s="53"/>
      <c r="K163" s="53"/>
      <c r="L163" s="61">
        <f>L160+L161-L162</f>
        <v>103400</v>
      </c>
      <c r="M163" s="53"/>
      <c r="N163" s="54"/>
    </row>
    <row r="164" spans="1:14" ht="20.25" customHeight="1">
      <c r="A164" s="57"/>
      <c r="B164" s="58" t="s">
        <v>177</v>
      </c>
      <c r="C164" s="337" t="s">
        <v>84</v>
      </c>
      <c r="D164" s="62" t="s">
        <v>127</v>
      </c>
      <c r="E164" s="61">
        <f>SUM(I164)</f>
        <v>1094760</v>
      </c>
      <c r="F164" s="61">
        <v>1094760</v>
      </c>
      <c r="G164" s="61"/>
      <c r="H164" s="61"/>
      <c r="I164" s="61">
        <f>SUM(J164:K164)</f>
        <v>1094760</v>
      </c>
      <c r="J164" s="61"/>
      <c r="K164" s="61">
        <v>1094760</v>
      </c>
      <c r="L164" s="61"/>
      <c r="M164" s="53"/>
      <c r="N164" s="54"/>
    </row>
    <row r="165" spans="1:14" ht="20.25" customHeight="1">
      <c r="A165" s="49"/>
      <c r="B165" s="49"/>
      <c r="C165" s="338"/>
      <c r="D165" s="62" t="s">
        <v>128</v>
      </c>
      <c r="E165" s="61"/>
      <c r="F165" s="61"/>
      <c r="G165" s="61"/>
      <c r="H165" s="61"/>
      <c r="I165" s="61"/>
      <c r="J165" s="61"/>
      <c r="K165" s="61"/>
      <c r="L165" s="61"/>
      <c r="M165" s="53"/>
      <c r="N165" s="54"/>
    </row>
    <row r="166" spans="1:14" ht="20.25" customHeight="1">
      <c r="A166" s="49"/>
      <c r="B166" s="49"/>
      <c r="C166" s="338"/>
      <c r="D166" s="62" t="s">
        <v>129</v>
      </c>
      <c r="E166" s="61"/>
      <c r="F166" s="61"/>
      <c r="G166" s="61"/>
      <c r="H166" s="61"/>
      <c r="I166" s="61"/>
      <c r="J166" s="61"/>
      <c r="K166" s="61"/>
      <c r="L166" s="61"/>
      <c r="M166" s="53"/>
      <c r="N166" s="54"/>
    </row>
    <row r="167" spans="1:14" ht="20.25" customHeight="1">
      <c r="A167" s="55"/>
      <c r="B167" s="55"/>
      <c r="C167" s="339"/>
      <c r="D167" s="51" t="s">
        <v>131</v>
      </c>
      <c r="E167" s="53">
        <f>SUM(E164,E165)-E166</f>
        <v>1094760</v>
      </c>
      <c r="F167" s="53">
        <f>SUM(F164,F165)-F166</f>
        <v>1094760</v>
      </c>
      <c r="G167" s="53"/>
      <c r="H167" s="53"/>
      <c r="I167" s="53">
        <f>SUM(K167)</f>
        <v>1094760</v>
      </c>
      <c r="J167" s="53"/>
      <c r="K167" s="53">
        <f>SUM(K164,K165)-K166</f>
        <v>1094760</v>
      </c>
      <c r="L167" s="53"/>
      <c r="M167" s="53"/>
      <c r="N167" s="54"/>
    </row>
    <row r="168" spans="1:14" ht="20.25" customHeight="1" hidden="1">
      <c r="A168" s="76"/>
      <c r="B168" s="77" t="s">
        <v>178</v>
      </c>
      <c r="C168" s="340" t="s">
        <v>179</v>
      </c>
      <c r="D168" s="78" t="s">
        <v>127</v>
      </c>
      <c r="E168" s="79"/>
      <c r="F168" s="79"/>
      <c r="G168" s="79"/>
      <c r="H168" s="79"/>
      <c r="I168" s="79"/>
      <c r="J168" s="79"/>
      <c r="K168" s="79"/>
      <c r="L168" s="79"/>
      <c r="M168" s="80"/>
      <c r="N168" s="54"/>
    </row>
    <row r="169" spans="1:14" ht="20.25" customHeight="1" hidden="1">
      <c r="A169" s="81"/>
      <c r="B169" s="81"/>
      <c r="C169" s="341"/>
      <c r="D169" s="78" t="s">
        <v>128</v>
      </c>
      <c r="E169" s="79">
        <f>SUM(I169)</f>
        <v>0</v>
      </c>
      <c r="F169" s="79"/>
      <c r="G169" s="79"/>
      <c r="H169" s="79"/>
      <c r="I169" s="79">
        <f>SUM(K169)</f>
        <v>0</v>
      </c>
      <c r="J169" s="79"/>
      <c r="K169" s="79"/>
      <c r="L169" s="79"/>
      <c r="M169" s="80"/>
      <c r="N169" s="54"/>
    </row>
    <row r="170" spans="1:14" ht="20.25" customHeight="1" hidden="1">
      <c r="A170" s="81"/>
      <c r="B170" s="81"/>
      <c r="C170" s="341"/>
      <c r="D170" s="78" t="s">
        <v>129</v>
      </c>
      <c r="E170" s="79"/>
      <c r="F170" s="79"/>
      <c r="G170" s="79"/>
      <c r="H170" s="79"/>
      <c r="I170" s="79"/>
      <c r="J170" s="79"/>
      <c r="K170" s="79"/>
      <c r="L170" s="79"/>
      <c r="M170" s="80"/>
      <c r="N170" s="54"/>
    </row>
    <row r="171" spans="1:14" ht="20.25" customHeight="1" hidden="1">
      <c r="A171" s="82"/>
      <c r="B171" s="82"/>
      <c r="C171" s="342"/>
      <c r="D171" s="83" t="s">
        <v>131</v>
      </c>
      <c r="E171" s="80">
        <f>SUM(E168,E169)-E170</f>
        <v>0</v>
      </c>
      <c r="F171" s="80">
        <f>SUM(F169)</f>
        <v>0</v>
      </c>
      <c r="G171" s="80"/>
      <c r="H171" s="80"/>
      <c r="I171" s="80">
        <f>SUM(K171)</f>
        <v>0</v>
      </c>
      <c r="J171" s="80"/>
      <c r="K171" s="80">
        <f>SUM(K168,K169)-K170</f>
        <v>0</v>
      </c>
      <c r="L171" s="80"/>
      <c r="M171" s="80"/>
      <c r="N171" s="54"/>
    </row>
    <row r="172" spans="1:14" ht="20.25" customHeight="1">
      <c r="A172" s="57"/>
      <c r="B172" s="58" t="s">
        <v>180</v>
      </c>
      <c r="C172" s="337" t="s">
        <v>181</v>
      </c>
      <c r="D172" s="62" t="s">
        <v>127</v>
      </c>
      <c r="E172" s="61">
        <f>SUM(I172)</f>
        <v>400</v>
      </c>
      <c r="F172" s="61"/>
      <c r="G172" s="61"/>
      <c r="H172" s="61"/>
      <c r="I172" s="61">
        <f>SUM(J172:K172)</f>
        <v>400</v>
      </c>
      <c r="J172" s="61"/>
      <c r="K172" s="61">
        <v>400</v>
      </c>
      <c r="L172" s="61"/>
      <c r="M172" s="53"/>
      <c r="N172" s="54"/>
    </row>
    <row r="173" spans="1:14" ht="20.25" customHeight="1">
      <c r="A173" s="49"/>
      <c r="B173" s="49"/>
      <c r="C173" s="338"/>
      <c r="D173" s="62" t="s">
        <v>128</v>
      </c>
      <c r="E173" s="61"/>
      <c r="F173" s="61"/>
      <c r="G173" s="61"/>
      <c r="H173" s="61"/>
      <c r="I173" s="61"/>
      <c r="J173" s="61"/>
      <c r="K173" s="61"/>
      <c r="L173" s="61"/>
      <c r="M173" s="53"/>
      <c r="N173" s="54"/>
    </row>
    <row r="174" spans="1:14" ht="20.25" customHeight="1">
      <c r="A174" s="49"/>
      <c r="B174" s="49"/>
      <c r="C174" s="338"/>
      <c r="D174" s="62" t="s">
        <v>129</v>
      </c>
      <c r="E174" s="61"/>
      <c r="F174" s="61"/>
      <c r="G174" s="61"/>
      <c r="H174" s="61"/>
      <c r="I174" s="61"/>
      <c r="J174" s="61"/>
      <c r="K174" s="61"/>
      <c r="L174" s="61"/>
      <c r="M174" s="53"/>
      <c r="N174" s="54"/>
    </row>
    <row r="175" spans="1:14" ht="20.25" customHeight="1">
      <c r="A175" s="55"/>
      <c r="B175" s="55"/>
      <c r="C175" s="339"/>
      <c r="D175" s="51" t="s">
        <v>131</v>
      </c>
      <c r="E175" s="53">
        <f>SUM(E172,E173)-E174</f>
        <v>400</v>
      </c>
      <c r="F175" s="53"/>
      <c r="G175" s="53"/>
      <c r="H175" s="53"/>
      <c r="I175" s="53">
        <f>SUM(K175)</f>
        <v>400</v>
      </c>
      <c r="J175" s="53"/>
      <c r="K175" s="53">
        <f>SUM(K172,K173)-K174</f>
        <v>400</v>
      </c>
      <c r="L175" s="53"/>
      <c r="M175" s="53"/>
      <c r="N175" s="54"/>
    </row>
    <row r="176" spans="1:14" ht="20.25" customHeight="1">
      <c r="A176" s="57" t="s">
        <v>182</v>
      </c>
      <c r="B176" s="58"/>
      <c r="C176" s="74" t="s">
        <v>85</v>
      </c>
      <c r="D176" s="62" t="s">
        <v>127</v>
      </c>
      <c r="E176" s="63">
        <f>SUM(I176,M176)</f>
        <v>2818525</v>
      </c>
      <c r="F176" s="63"/>
      <c r="G176" s="63"/>
      <c r="H176" s="63"/>
      <c r="I176" s="63">
        <f>SUM(J176:L176)</f>
        <v>2818525</v>
      </c>
      <c r="J176" s="63">
        <f>SUM(J180,J184,J192,J196,J200,J204)</f>
        <v>970077</v>
      </c>
      <c r="K176" s="63">
        <f>SUM(K180,K184,K188,K192,K196,K200,K204)</f>
        <v>1723054</v>
      </c>
      <c r="L176" s="63">
        <f>SUM(L180,L184,L188,L192,L196,L200,L204)</f>
        <v>125394</v>
      </c>
      <c r="M176" s="63"/>
      <c r="N176" s="54"/>
    </row>
    <row r="177" spans="1:14" ht="20.25" customHeight="1">
      <c r="A177" s="49"/>
      <c r="B177" s="49"/>
      <c r="C177" s="50"/>
      <c r="D177" s="62" t="s">
        <v>128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54"/>
    </row>
    <row r="178" spans="1:14" ht="20.25" customHeight="1">
      <c r="A178" s="49"/>
      <c r="B178" s="49"/>
      <c r="C178" s="50"/>
      <c r="D178" s="62" t="s">
        <v>129</v>
      </c>
      <c r="E178" s="63">
        <f>SUM(I178,M178)</f>
        <v>72131</v>
      </c>
      <c r="F178" s="63"/>
      <c r="G178" s="63"/>
      <c r="H178" s="63"/>
      <c r="I178" s="63">
        <f>SUM(J178:L178)</f>
        <v>72131</v>
      </c>
      <c r="J178" s="63"/>
      <c r="K178" s="63">
        <f>SUM(K182,K186,K190,K194,K198,K202,K206)</f>
        <v>72131</v>
      </c>
      <c r="L178" s="63"/>
      <c r="M178" s="63"/>
      <c r="N178" s="54"/>
    </row>
    <row r="179" spans="1:14" ht="20.25" customHeight="1">
      <c r="A179" s="49"/>
      <c r="B179" s="49"/>
      <c r="C179" s="50"/>
      <c r="D179" s="62" t="s">
        <v>131</v>
      </c>
      <c r="E179" s="63">
        <f>SUM(I179,M179)</f>
        <v>2746394</v>
      </c>
      <c r="F179" s="63"/>
      <c r="G179" s="63"/>
      <c r="H179" s="63"/>
      <c r="I179" s="63">
        <f>SUM(J179:L179)</f>
        <v>2746394</v>
      </c>
      <c r="J179" s="63">
        <f>SUM(J183,J187,J195,J199,J203,J207)</f>
        <v>970077</v>
      </c>
      <c r="K179" s="63">
        <f>SUM(K183,K187,K191,K195,K199,K203,K207)</f>
        <v>1650923</v>
      </c>
      <c r="L179" s="63">
        <f>SUM(L183,L187,L191,L195,L199,L203,L207)</f>
        <v>125394</v>
      </c>
      <c r="M179" s="63"/>
      <c r="N179" s="54"/>
    </row>
    <row r="180" spans="1:14" ht="20.25" customHeight="1">
      <c r="A180" s="57"/>
      <c r="B180" s="58" t="s">
        <v>183</v>
      </c>
      <c r="C180" s="314" t="s">
        <v>86</v>
      </c>
      <c r="D180" s="62" t="s">
        <v>127</v>
      </c>
      <c r="E180" s="61">
        <f>SUM(M180,I180)</f>
        <v>1516200</v>
      </c>
      <c r="F180" s="61"/>
      <c r="G180" s="61"/>
      <c r="H180" s="61"/>
      <c r="I180" s="61">
        <f>SUM(J180:L180)</f>
        <v>1516200</v>
      </c>
      <c r="J180" s="61">
        <f>444709+38000+77000+11000+8000+30361+1921+5842+791+51648+66400+27500</f>
        <v>763172</v>
      </c>
      <c r="K180" s="61">
        <f>125000+391291+51085+68352+66600-27500</f>
        <v>674828</v>
      </c>
      <c r="L180" s="61">
        <v>78200</v>
      </c>
      <c r="M180" s="53"/>
      <c r="N180" s="54"/>
    </row>
    <row r="181" spans="1:14" ht="20.25" customHeight="1">
      <c r="A181" s="49"/>
      <c r="B181" s="49"/>
      <c r="C181" s="311"/>
      <c r="D181" s="62" t="s">
        <v>128</v>
      </c>
      <c r="E181" s="61"/>
      <c r="F181" s="61"/>
      <c r="G181" s="61"/>
      <c r="H181" s="61"/>
      <c r="I181" s="61"/>
      <c r="J181" s="61"/>
      <c r="K181" s="61"/>
      <c r="L181" s="61"/>
      <c r="M181" s="53"/>
      <c r="N181" s="54"/>
    </row>
    <row r="182" spans="1:14" ht="20.25" customHeight="1">
      <c r="A182" s="49"/>
      <c r="B182" s="49"/>
      <c r="C182" s="50"/>
      <c r="D182" s="62" t="s">
        <v>129</v>
      </c>
      <c r="E182" s="61"/>
      <c r="F182" s="61"/>
      <c r="G182" s="61"/>
      <c r="H182" s="61"/>
      <c r="I182" s="61"/>
      <c r="J182" s="61"/>
      <c r="K182" s="61"/>
      <c r="L182" s="61"/>
      <c r="M182" s="53"/>
      <c r="N182" s="54"/>
    </row>
    <row r="183" spans="1:14" ht="20.25" customHeight="1">
      <c r="A183" s="55"/>
      <c r="B183" s="55"/>
      <c r="C183" s="56"/>
      <c r="D183" s="51" t="s">
        <v>131</v>
      </c>
      <c r="E183" s="53">
        <f>SUM(E180,E181)-E182</f>
        <v>1516200</v>
      </c>
      <c r="F183" s="53"/>
      <c r="G183" s="53"/>
      <c r="H183" s="53"/>
      <c r="I183" s="53">
        <f>SUM(I180,I181)-I182</f>
        <v>1516200</v>
      </c>
      <c r="J183" s="53">
        <f>SUM(J180:J181)-J182</f>
        <v>763172</v>
      </c>
      <c r="K183" s="53">
        <f>SUM(K180:K181)-K182</f>
        <v>674828</v>
      </c>
      <c r="L183" s="53">
        <f>SUM(L180:L181)-L182</f>
        <v>78200</v>
      </c>
      <c r="M183" s="53"/>
      <c r="N183" s="54"/>
    </row>
    <row r="184" spans="1:14" ht="20.25" customHeight="1">
      <c r="A184" s="57"/>
      <c r="B184" s="58" t="s">
        <v>184</v>
      </c>
      <c r="C184" s="71" t="s">
        <v>88</v>
      </c>
      <c r="D184" s="62" t="s">
        <v>127</v>
      </c>
      <c r="E184" s="61">
        <f>SUM(M184,I184)</f>
        <v>958194</v>
      </c>
      <c r="F184" s="61"/>
      <c r="G184" s="61"/>
      <c r="H184" s="61"/>
      <c r="I184" s="61">
        <f>SUM(J184:L184)</f>
        <v>958194</v>
      </c>
      <c r="J184" s="61"/>
      <c r="K184" s="61">
        <v>911000</v>
      </c>
      <c r="L184" s="61">
        <v>47194</v>
      </c>
      <c r="M184" s="53"/>
      <c r="N184" s="54"/>
    </row>
    <row r="185" spans="1:14" ht="20.25" customHeight="1">
      <c r="A185" s="49"/>
      <c r="B185" s="49"/>
      <c r="C185" s="50"/>
      <c r="D185" s="62" t="s">
        <v>128</v>
      </c>
      <c r="E185" s="61"/>
      <c r="F185" s="61"/>
      <c r="G185" s="61"/>
      <c r="H185" s="61"/>
      <c r="I185" s="61"/>
      <c r="J185" s="61"/>
      <c r="K185" s="61"/>
      <c r="L185" s="61"/>
      <c r="M185" s="53"/>
      <c r="N185" s="54"/>
    </row>
    <row r="186" spans="1:14" ht="20.25" customHeight="1">
      <c r="A186" s="49"/>
      <c r="B186" s="49"/>
      <c r="C186" s="50"/>
      <c r="D186" s="62" t="s">
        <v>129</v>
      </c>
      <c r="E186" s="61"/>
      <c r="F186" s="61"/>
      <c r="G186" s="61"/>
      <c r="H186" s="61"/>
      <c r="I186" s="61"/>
      <c r="J186" s="61"/>
      <c r="K186" s="61"/>
      <c r="L186" s="61"/>
      <c r="M186" s="53"/>
      <c r="N186" s="54"/>
    </row>
    <row r="187" spans="1:14" ht="20.25" customHeight="1">
      <c r="A187" s="55"/>
      <c r="B187" s="55"/>
      <c r="C187" s="56"/>
      <c r="D187" s="51" t="s">
        <v>131</v>
      </c>
      <c r="E187" s="53">
        <f>SUM(E184,E185)-E186</f>
        <v>958194</v>
      </c>
      <c r="F187" s="53"/>
      <c r="G187" s="53"/>
      <c r="H187" s="53"/>
      <c r="I187" s="53">
        <f>SUM(I184,I185)-I186</f>
        <v>958194</v>
      </c>
      <c r="J187" s="53"/>
      <c r="K187" s="53">
        <f>SUM(K184,K185)-K186</f>
        <v>911000</v>
      </c>
      <c r="L187" s="53">
        <f>SUM(L184,L185)-L186</f>
        <v>47194</v>
      </c>
      <c r="M187" s="53"/>
      <c r="N187" s="54"/>
    </row>
    <row r="188" spans="1:14" ht="20.25" customHeight="1" hidden="1">
      <c r="A188" s="76"/>
      <c r="B188" s="77" t="s">
        <v>185</v>
      </c>
      <c r="C188" s="332" t="s">
        <v>186</v>
      </c>
      <c r="D188" s="78" t="s">
        <v>127</v>
      </c>
      <c r="E188" s="79">
        <f>SUM(I188)</f>
        <v>0</v>
      </c>
      <c r="F188" s="79"/>
      <c r="G188" s="79"/>
      <c r="H188" s="79"/>
      <c r="I188" s="79">
        <f>SUM(J188:L188)</f>
        <v>0</v>
      </c>
      <c r="J188" s="79"/>
      <c r="K188" s="79"/>
      <c r="L188" s="79"/>
      <c r="M188" s="80"/>
      <c r="N188" s="54"/>
    </row>
    <row r="189" spans="1:14" ht="20.25" customHeight="1" hidden="1">
      <c r="A189" s="81"/>
      <c r="B189" s="81"/>
      <c r="C189" s="333"/>
      <c r="D189" s="78" t="s">
        <v>128</v>
      </c>
      <c r="E189" s="79"/>
      <c r="F189" s="79"/>
      <c r="G189" s="79"/>
      <c r="H189" s="79"/>
      <c r="I189" s="79"/>
      <c r="J189" s="79"/>
      <c r="K189" s="79"/>
      <c r="L189" s="79"/>
      <c r="M189" s="80"/>
      <c r="N189" s="54"/>
    </row>
    <row r="190" spans="1:14" ht="20.25" customHeight="1" hidden="1">
      <c r="A190" s="81"/>
      <c r="B190" s="81"/>
      <c r="C190" s="84"/>
      <c r="D190" s="78" t="s">
        <v>129</v>
      </c>
      <c r="E190" s="79"/>
      <c r="F190" s="79"/>
      <c r="G190" s="79"/>
      <c r="H190" s="79"/>
      <c r="I190" s="79"/>
      <c r="J190" s="79"/>
      <c r="K190" s="79"/>
      <c r="L190" s="79"/>
      <c r="M190" s="80"/>
      <c r="N190" s="54"/>
    </row>
    <row r="191" spans="1:14" ht="20.25" customHeight="1" hidden="1">
      <c r="A191" s="82"/>
      <c r="B191" s="82"/>
      <c r="C191" s="85"/>
      <c r="D191" s="83" t="s">
        <v>131</v>
      </c>
      <c r="E191" s="80">
        <f>SUM(E188,E189)-E190</f>
        <v>0</v>
      </c>
      <c r="F191" s="80">
        <f>SUM(F188,F189)-F190</f>
        <v>0</v>
      </c>
      <c r="G191" s="80"/>
      <c r="H191" s="80"/>
      <c r="I191" s="80">
        <f>SUM(I188,I189)-I190</f>
        <v>0</v>
      </c>
      <c r="J191" s="80"/>
      <c r="K191" s="80">
        <f>SUM(K188,K189)-K190</f>
        <v>0</v>
      </c>
      <c r="L191" s="80"/>
      <c r="M191" s="80"/>
      <c r="N191" s="54"/>
    </row>
    <row r="192" spans="1:14" ht="20.25" customHeight="1">
      <c r="A192" s="57"/>
      <c r="B192" s="58" t="s">
        <v>187</v>
      </c>
      <c r="C192" s="314" t="s">
        <v>188</v>
      </c>
      <c r="D192" s="62" t="s">
        <v>127</v>
      </c>
      <c r="E192" s="61">
        <f>SUM(M192,I192)</f>
        <v>321131</v>
      </c>
      <c r="F192" s="61"/>
      <c r="G192" s="61"/>
      <c r="H192" s="61"/>
      <c r="I192" s="61">
        <f>SUM(J192:K192)</f>
        <v>321131</v>
      </c>
      <c r="J192" s="61">
        <v>198023</v>
      </c>
      <c r="K192" s="61">
        <v>123108</v>
      </c>
      <c r="L192" s="61"/>
      <c r="M192" s="53"/>
      <c r="N192" s="54"/>
    </row>
    <row r="193" spans="1:14" ht="20.25" customHeight="1">
      <c r="A193" s="49"/>
      <c r="B193" s="49"/>
      <c r="C193" s="311"/>
      <c r="D193" s="62" t="s">
        <v>128</v>
      </c>
      <c r="E193" s="61"/>
      <c r="F193" s="61"/>
      <c r="G193" s="61"/>
      <c r="H193" s="61"/>
      <c r="I193" s="61"/>
      <c r="J193" s="61"/>
      <c r="K193" s="61"/>
      <c r="L193" s="61"/>
      <c r="M193" s="53"/>
      <c r="N193" s="54"/>
    </row>
    <row r="194" spans="1:14" ht="20.25" customHeight="1">
      <c r="A194" s="49"/>
      <c r="B194" s="49"/>
      <c r="C194" s="50"/>
      <c r="D194" s="62" t="s">
        <v>129</v>
      </c>
      <c r="E194" s="61">
        <f>SUM(M194,I194)</f>
        <v>72131</v>
      </c>
      <c r="F194" s="61"/>
      <c r="G194" s="61"/>
      <c r="H194" s="61"/>
      <c r="I194" s="61">
        <f>SUM(J194:K194)</f>
        <v>72131</v>
      </c>
      <c r="J194" s="61"/>
      <c r="K194" s="61">
        <v>72131</v>
      </c>
      <c r="L194" s="61"/>
      <c r="M194" s="53"/>
      <c r="N194" s="54"/>
    </row>
    <row r="195" spans="1:14" ht="20.25" customHeight="1">
      <c r="A195" s="55"/>
      <c r="B195" s="55"/>
      <c r="C195" s="56"/>
      <c r="D195" s="51" t="s">
        <v>131</v>
      </c>
      <c r="E195" s="53">
        <f>SUM(E192,E193)-E194</f>
        <v>249000</v>
      </c>
      <c r="F195" s="53"/>
      <c r="G195" s="53"/>
      <c r="H195" s="53"/>
      <c r="I195" s="53">
        <f>SUM(I192,I193)-I194</f>
        <v>249000</v>
      </c>
      <c r="J195" s="53">
        <f>SUM(J192,J193)-J194</f>
        <v>198023</v>
      </c>
      <c r="K195" s="53">
        <f>SUM(K192,K193)-K194</f>
        <v>50977</v>
      </c>
      <c r="L195" s="53"/>
      <c r="M195" s="53"/>
      <c r="N195" s="54"/>
    </row>
    <row r="196" spans="1:14" ht="20.25" customHeight="1">
      <c r="A196" s="57"/>
      <c r="B196" s="58" t="s">
        <v>189</v>
      </c>
      <c r="C196" s="314" t="s">
        <v>190</v>
      </c>
      <c r="D196" s="62" t="s">
        <v>127</v>
      </c>
      <c r="E196" s="61">
        <f>SUM(M196,I196)</f>
        <v>13000</v>
      </c>
      <c r="F196" s="61"/>
      <c r="G196" s="61"/>
      <c r="H196" s="61"/>
      <c r="I196" s="61">
        <f>SUM(J196:K196)</f>
        <v>13000</v>
      </c>
      <c r="J196" s="61">
        <v>8882</v>
      </c>
      <c r="K196" s="61">
        <v>4118</v>
      </c>
      <c r="L196" s="61"/>
      <c r="M196" s="53"/>
      <c r="N196" s="54"/>
    </row>
    <row r="197" spans="1:14" ht="20.25" customHeight="1">
      <c r="A197" s="49"/>
      <c r="B197" s="49"/>
      <c r="C197" s="311"/>
      <c r="D197" s="62" t="s">
        <v>128</v>
      </c>
      <c r="E197" s="61"/>
      <c r="F197" s="61"/>
      <c r="G197" s="61"/>
      <c r="H197" s="61"/>
      <c r="I197" s="61"/>
      <c r="J197" s="61"/>
      <c r="K197" s="61"/>
      <c r="L197" s="61"/>
      <c r="M197" s="53"/>
      <c r="N197" s="54"/>
    </row>
    <row r="198" spans="1:14" ht="20.25" customHeight="1">
      <c r="A198" s="49"/>
      <c r="B198" s="49"/>
      <c r="C198" s="50"/>
      <c r="D198" s="62" t="s">
        <v>129</v>
      </c>
      <c r="E198" s="61"/>
      <c r="F198" s="61"/>
      <c r="G198" s="61"/>
      <c r="H198" s="61"/>
      <c r="I198" s="61"/>
      <c r="J198" s="61"/>
      <c r="K198" s="61"/>
      <c r="L198" s="61"/>
      <c r="M198" s="53"/>
      <c r="N198" s="54"/>
    </row>
    <row r="199" spans="1:14" ht="20.25" customHeight="1">
      <c r="A199" s="55"/>
      <c r="B199" s="55"/>
      <c r="C199" s="56"/>
      <c r="D199" s="51" t="s">
        <v>131</v>
      </c>
      <c r="E199" s="53">
        <f>SUM(E196,E197)-E198</f>
        <v>13000</v>
      </c>
      <c r="F199" s="53"/>
      <c r="G199" s="53"/>
      <c r="H199" s="53"/>
      <c r="I199" s="53">
        <f>SUM(I196,I197)-I198</f>
        <v>13000</v>
      </c>
      <c r="J199" s="53">
        <f>SUM(J196,J197)-J198</f>
        <v>8882</v>
      </c>
      <c r="K199" s="53">
        <f>SUM(K196,K197)-K198</f>
        <v>4118</v>
      </c>
      <c r="L199" s="53"/>
      <c r="M199" s="53"/>
      <c r="N199" s="54"/>
    </row>
    <row r="200" spans="1:14" ht="20.25" customHeight="1">
      <c r="A200" s="44"/>
      <c r="B200" s="86" t="s">
        <v>191</v>
      </c>
      <c r="C200" s="314" t="s">
        <v>172</v>
      </c>
      <c r="D200" s="87" t="s">
        <v>127</v>
      </c>
      <c r="E200" s="72">
        <f>SUM(M200,I200)</f>
        <v>5000</v>
      </c>
      <c r="F200" s="72"/>
      <c r="G200" s="72"/>
      <c r="H200" s="72"/>
      <c r="I200" s="72">
        <f>SUM(J200:L200)</f>
        <v>5000</v>
      </c>
      <c r="J200" s="72"/>
      <c r="K200" s="72">
        <v>5000</v>
      </c>
      <c r="L200" s="72"/>
      <c r="M200" s="73"/>
      <c r="N200" s="54"/>
    </row>
    <row r="201" spans="1:14" ht="20.25" customHeight="1">
      <c r="A201" s="88"/>
      <c r="B201" s="88"/>
      <c r="C201" s="311"/>
      <c r="D201" s="87" t="s">
        <v>128</v>
      </c>
      <c r="E201" s="72"/>
      <c r="F201" s="72"/>
      <c r="G201" s="72"/>
      <c r="H201" s="72"/>
      <c r="I201" s="72"/>
      <c r="J201" s="72"/>
      <c r="K201" s="72"/>
      <c r="L201" s="72"/>
      <c r="M201" s="73"/>
      <c r="N201" s="54"/>
    </row>
    <row r="202" spans="1:14" ht="20.25" customHeight="1">
      <c r="A202" s="88"/>
      <c r="B202" s="88"/>
      <c r="C202" s="89"/>
      <c r="D202" s="87" t="s">
        <v>129</v>
      </c>
      <c r="E202" s="72"/>
      <c r="F202" s="72"/>
      <c r="G202" s="72"/>
      <c r="H202" s="72"/>
      <c r="I202" s="72"/>
      <c r="J202" s="72"/>
      <c r="K202" s="72"/>
      <c r="L202" s="72"/>
      <c r="M202" s="73"/>
      <c r="N202" s="54"/>
    </row>
    <row r="203" spans="1:14" ht="20.25" customHeight="1">
      <c r="A203" s="90"/>
      <c r="B203" s="90"/>
      <c r="C203" s="91"/>
      <c r="D203" s="47" t="s">
        <v>131</v>
      </c>
      <c r="E203" s="73">
        <f>SUM(E200,E201)-E202</f>
        <v>5000</v>
      </c>
      <c r="F203" s="73"/>
      <c r="G203" s="73"/>
      <c r="H203" s="73"/>
      <c r="I203" s="73">
        <f>SUM(I200,I201)-I202</f>
        <v>5000</v>
      </c>
      <c r="J203" s="73"/>
      <c r="K203" s="73">
        <f>SUM(K200,K201,K202)-K202</f>
        <v>5000</v>
      </c>
      <c r="L203" s="73"/>
      <c r="M203" s="73"/>
      <c r="N203" s="54"/>
    </row>
    <row r="204" spans="1:14" ht="20.25" customHeight="1">
      <c r="A204" s="57"/>
      <c r="B204" s="58" t="s">
        <v>192</v>
      </c>
      <c r="C204" s="314" t="s">
        <v>81</v>
      </c>
      <c r="D204" s="62" t="s">
        <v>127</v>
      </c>
      <c r="E204" s="61">
        <f>SUM(M204,I204)</f>
        <v>5000</v>
      </c>
      <c r="F204" s="61"/>
      <c r="G204" s="61"/>
      <c r="H204" s="61"/>
      <c r="I204" s="61">
        <f>SUM(J204:L204)</f>
        <v>5000</v>
      </c>
      <c r="J204" s="61"/>
      <c r="K204" s="61">
        <v>5000</v>
      </c>
      <c r="L204" s="61"/>
      <c r="M204" s="53"/>
      <c r="N204" s="54"/>
    </row>
    <row r="205" spans="1:14" ht="20.25" customHeight="1">
      <c r="A205" s="49"/>
      <c r="B205" s="49"/>
      <c r="C205" s="311"/>
      <c r="D205" s="62" t="s">
        <v>128</v>
      </c>
      <c r="E205" s="61"/>
      <c r="F205" s="61"/>
      <c r="G205" s="61"/>
      <c r="H205" s="61"/>
      <c r="I205" s="61"/>
      <c r="J205" s="61"/>
      <c r="K205" s="61"/>
      <c r="L205" s="61"/>
      <c r="M205" s="53"/>
      <c r="N205" s="54"/>
    </row>
    <row r="206" spans="1:14" ht="20.25" customHeight="1">
      <c r="A206" s="49"/>
      <c r="B206" s="49"/>
      <c r="C206" s="50"/>
      <c r="D206" s="62" t="s">
        <v>129</v>
      </c>
      <c r="E206" s="61"/>
      <c r="F206" s="61"/>
      <c r="G206" s="61"/>
      <c r="H206" s="61"/>
      <c r="I206" s="61"/>
      <c r="J206" s="61"/>
      <c r="K206" s="61"/>
      <c r="L206" s="61"/>
      <c r="M206" s="53"/>
      <c r="N206" s="54"/>
    </row>
    <row r="207" spans="1:14" ht="20.25" customHeight="1">
      <c r="A207" s="55"/>
      <c r="B207" s="55"/>
      <c r="C207" s="56"/>
      <c r="D207" s="51" t="s">
        <v>131</v>
      </c>
      <c r="E207" s="53">
        <f>SUM(E204,E205)-E206</f>
        <v>5000</v>
      </c>
      <c r="F207" s="53"/>
      <c r="G207" s="53"/>
      <c r="H207" s="53"/>
      <c r="I207" s="53">
        <f>SUM(I204,I205)-I206</f>
        <v>5000</v>
      </c>
      <c r="J207" s="53"/>
      <c r="K207" s="53">
        <f>SUM(K204,K205,K206)-K206</f>
        <v>5000</v>
      </c>
      <c r="L207" s="53"/>
      <c r="M207" s="53"/>
      <c r="N207" s="54"/>
    </row>
    <row r="208" spans="1:14" ht="20.25" customHeight="1">
      <c r="A208" s="57" t="s">
        <v>193</v>
      </c>
      <c r="B208" s="58"/>
      <c r="C208" s="330" t="s">
        <v>194</v>
      </c>
      <c r="D208" s="62" t="s">
        <v>127</v>
      </c>
      <c r="E208" s="63">
        <f>SUM(E212,E216,E220,E224,E228)</f>
        <v>1058147</v>
      </c>
      <c r="F208" s="63">
        <f>SUM(F216,F220,F224,F228)</f>
        <v>91600</v>
      </c>
      <c r="G208" s="63"/>
      <c r="H208" s="63"/>
      <c r="I208" s="63">
        <f aca="true" t="shared" si="6" ref="I208:I213">SUM(J208:L208)</f>
        <v>1058147</v>
      </c>
      <c r="J208" s="63">
        <f>SUM(J212,J216,J220,J224,J228)</f>
        <v>847838</v>
      </c>
      <c r="K208" s="63">
        <f>SUM(K212,K216,K220,K224,K228)</f>
        <v>210309</v>
      </c>
      <c r="L208" s="63"/>
      <c r="M208" s="63"/>
      <c r="N208" s="54"/>
    </row>
    <row r="209" spans="1:14" ht="20.25" customHeight="1">
      <c r="A209" s="49"/>
      <c r="B209" s="49"/>
      <c r="C209" s="331"/>
      <c r="D209" s="62" t="s">
        <v>128</v>
      </c>
      <c r="E209" s="63">
        <f>SUM(E213,E217,E221,E225,E229)</f>
        <v>72400</v>
      </c>
      <c r="F209" s="63">
        <f>SUM(F217,F221,F225,F229)</f>
        <v>269</v>
      </c>
      <c r="G209" s="63"/>
      <c r="H209" s="63"/>
      <c r="I209" s="63">
        <f t="shared" si="6"/>
        <v>72400</v>
      </c>
      <c r="J209" s="63"/>
      <c r="K209" s="63">
        <f>SUM(K213,K217,K221,K225,K229)</f>
        <v>72400</v>
      </c>
      <c r="L209" s="63"/>
      <c r="M209" s="63"/>
      <c r="N209" s="54"/>
    </row>
    <row r="210" spans="1:14" ht="20.25" customHeight="1">
      <c r="A210" s="49"/>
      <c r="B210" s="49"/>
      <c r="C210" s="50"/>
      <c r="D210" s="62" t="s">
        <v>129</v>
      </c>
      <c r="E210" s="63">
        <f>SUM(E214,E218,E222,E226,E230)</f>
        <v>269</v>
      </c>
      <c r="F210" s="63">
        <f>SUM(F218,F222,F226,F230)</f>
        <v>269</v>
      </c>
      <c r="G210" s="63"/>
      <c r="H210" s="63"/>
      <c r="I210" s="63">
        <f t="shared" si="6"/>
        <v>269</v>
      </c>
      <c r="J210" s="63">
        <f>SUM(J214,J218,J222,J226,J230)</f>
        <v>269</v>
      </c>
      <c r="K210" s="63"/>
      <c r="L210" s="63"/>
      <c r="M210" s="52"/>
      <c r="N210" s="54"/>
    </row>
    <row r="211" spans="1:14" ht="20.25" customHeight="1">
      <c r="A211" s="55"/>
      <c r="B211" s="55"/>
      <c r="C211" s="56"/>
      <c r="D211" s="51" t="s">
        <v>131</v>
      </c>
      <c r="E211" s="52">
        <f>SUM(E215,E219,E223,E227,E231)</f>
        <v>1130278</v>
      </c>
      <c r="F211" s="52">
        <f>SUM(F219,F223,F227,F231)</f>
        <v>91600</v>
      </c>
      <c r="G211" s="52"/>
      <c r="H211" s="52"/>
      <c r="I211" s="52">
        <f t="shared" si="6"/>
        <v>1130278</v>
      </c>
      <c r="J211" s="52">
        <f>SUM(J215,J219,J223,J227,J231)</f>
        <v>847569</v>
      </c>
      <c r="K211" s="52">
        <f>SUM(K215,K219,K223,K227,K231)</f>
        <v>282709</v>
      </c>
      <c r="L211" s="52"/>
      <c r="M211" s="52"/>
      <c r="N211" s="54"/>
    </row>
    <row r="212" spans="1:14" ht="20.25" customHeight="1">
      <c r="A212" s="57"/>
      <c r="B212" s="58" t="s">
        <v>195</v>
      </c>
      <c r="C212" s="314" t="s">
        <v>196</v>
      </c>
      <c r="D212" s="62" t="s">
        <v>127</v>
      </c>
      <c r="E212" s="61">
        <f>SUM(M212,I212)</f>
        <v>0</v>
      </c>
      <c r="F212" s="61"/>
      <c r="G212" s="61"/>
      <c r="H212" s="61"/>
      <c r="I212" s="61">
        <f t="shared" si="6"/>
        <v>0</v>
      </c>
      <c r="J212" s="61"/>
      <c r="K212" s="61"/>
      <c r="L212" s="61"/>
      <c r="M212" s="53"/>
      <c r="N212" s="54"/>
    </row>
    <row r="213" spans="1:14" ht="20.25" customHeight="1">
      <c r="A213" s="49"/>
      <c r="B213" s="49"/>
      <c r="C213" s="311"/>
      <c r="D213" s="62" t="s">
        <v>128</v>
      </c>
      <c r="E213" s="61">
        <f>SUM(M213,I213)</f>
        <v>72131</v>
      </c>
      <c r="F213" s="61"/>
      <c r="G213" s="61"/>
      <c r="H213" s="61"/>
      <c r="I213" s="61">
        <f t="shared" si="6"/>
        <v>72131</v>
      </c>
      <c r="J213" s="61"/>
      <c r="K213" s="61">
        <v>72131</v>
      </c>
      <c r="L213" s="61"/>
      <c r="M213" s="53"/>
      <c r="N213" s="54"/>
    </row>
    <row r="214" spans="1:14" ht="20.25" customHeight="1">
      <c r="A214" s="49"/>
      <c r="B214" s="49"/>
      <c r="C214" s="50"/>
      <c r="D214" s="62" t="s">
        <v>129</v>
      </c>
      <c r="E214" s="61"/>
      <c r="F214" s="61"/>
      <c r="G214" s="61"/>
      <c r="H214" s="61"/>
      <c r="I214" s="61"/>
      <c r="J214" s="61"/>
      <c r="K214" s="61"/>
      <c r="L214" s="61"/>
      <c r="M214" s="53"/>
      <c r="N214" s="54"/>
    </row>
    <row r="215" spans="1:14" ht="20.25" customHeight="1">
      <c r="A215" s="55"/>
      <c r="B215" s="55"/>
      <c r="C215" s="56"/>
      <c r="D215" s="51" t="s">
        <v>131</v>
      </c>
      <c r="E215" s="53">
        <f>SUM(E212,E213)-E214</f>
        <v>72131</v>
      </c>
      <c r="F215" s="53"/>
      <c r="G215" s="53"/>
      <c r="H215" s="53"/>
      <c r="I215" s="53">
        <f>SUM(I212,I213)-I214</f>
        <v>72131</v>
      </c>
      <c r="J215" s="53"/>
      <c r="K215" s="53">
        <f>SUM(K212,K213)-K214</f>
        <v>72131</v>
      </c>
      <c r="L215" s="53"/>
      <c r="M215" s="53"/>
      <c r="N215" s="54"/>
    </row>
    <row r="216" spans="1:14" ht="20.25" customHeight="1">
      <c r="A216" s="57"/>
      <c r="B216" s="58" t="s">
        <v>197</v>
      </c>
      <c r="C216" s="314" t="s">
        <v>198</v>
      </c>
      <c r="D216" s="62" t="s">
        <v>127</v>
      </c>
      <c r="E216" s="61">
        <f>SUM(M216,I216)</f>
        <v>91600</v>
      </c>
      <c r="F216" s="61">
        <v>91600</v>
      </c>
      <c r="G216" s="61"/>
      <c r="H216" s="61"/>
      <c r="I216" s="61">
        <f>SUM(J216:L216)</f>
        <v>91600</v>
      </c>
      <c r="J216" s="61">
        <v>75083</v>
      </c>
      <c r="K216" s="61">
        <v>16517</v>
      </c>
      <c r="L216" s="61"/>
      <c r="M216" s="53"/>
      <c r="N216" s="54"/>
    </row>
    <row r="217" spans="1:14" ht="20.25" customHeight="1">
      <c r="A217" s="49"/>
      <c r="B217" s="49"/>
      <c r="C217" s="311"/>
      <c r="D217" s="62" t="s">
        <v>128</v>
      </c>
      <c r="E217" s="61">
        <f>SUM(M217,I217)</f>
        <v>269</v>
      </c>
      <c r="F217" s="61">
        <v>269</v>
      </c>
      <c r="G217" s="61"/>
      <c r="H217" s="61"/>
      <c r="I217" s="61">
        <f>SUM(J217:L217)</f>
        <v>269</v>
      </c>
      <c r="J217" s="61"/>
      <c r="K217" s="61">
        <v>269</v>
      </c>
      <c r="L217" s="61"/>
      <c r="M217" s="53"/>
      <c r="N217" s="54"/>
    </row>
    <row r="218" spans="1:14" ht="20.25" customHeight="1">
      <c r="A218" s="49"/>
      <c r="B218" s="49"/>
      <c r="C218" s="50"/>
      <c r="D218" s="62" t="s">
        <v>129</v>
      </c>
      <c r="E218" s="61">
        <f>SUM(M218,I218)</f>
        <v>269</v>
      </c>
      <c r="F218" s="61">
        <v>269</v>
      </c>
      <c r="G218" s="61"/>
      <c r="H218" s="61"/>
      <c r="I218" s="61">
        <f>SUM(J218:L218)</f>
        <v>269</v>
      </c>
      <c r="J218" s="61">
        <v>269</v>
      </c>
      <c r="K218" s="61"/>
      <c r="L218" s="61"/>
      <c r="M218" s="53"/>
      <c r="N218" s="54"/>
    </row>
    <row r="219" spans="1:14" ht="20.25" customHeight="1">
      <c r="A219" s="55"/>
      <c r="B219" s="55"/>
      <c r="C219" s="56"/>
      <c r="D219" s="51" t="s">
        <v>131</v>
      </c>
      <c r="E219" s="53">
        <f>SUM(E216,E217)-E218</f>
        <v>91600</v>
      </c>
      <c r="F219" s="53">
        <f>SUM(F216,F217)-F218</f>
        <v>91600</v>
      </c>
      <c r="G219" s="53"/>
      <c r="H219" s="53"/>
      <c r="I219" s="53">
        <f>SUM(I216,I217)-I218</f>
        <v>91600</v>
      </c>
      <c r="J219" s="53">
        <f>SUM(J216,J217)-J218</f>
        <v>74814</v>
      </c>
      <c r="K219" s="53">
        <f>SUM(K216,K217,)-K218</f>
        <v>16786</v>
      </c>
      <c r="L219" s="53"/>
      <c r="M219" s="53"/>
      <c r="N219" s="54"/>
    </row>
    <row r="220" spans="1:14" ht="20.25" customHeight="1">
      <c r="A220" s="57"/>
      <c r="B220" s="58" t="s">
        <v>199</v>
      </c>
      <c r="C220" s="71" t="s">
        <v>92</v>
      </c>
      <c r="D220" s="62" t="s">
        <v>127</v>
      </c>
      <c r="E220" s="61">
        <f>SUM(M220,I220)</f>
        <v>961547</v>
      </c>
      <c r="F220" s="61"/>
      <c r="G220" s="61"/>
      <c r="H220" s="61"/>
      <c r="I220" s="61">
        <f>SUM(J220:K220)</f>
        <v>961547</v>
      </c>
      <c r="J220" s="61">
        <v>772755</v>
      </c>
      <c r="K220" s="61">
        <v>188792</v>
      </c>
      <c r="L220" s="61"/>
      <c r="M220" s="53"/>
      <c r="N220" s="54"/>
    </row>
    <row r="221" spans="1:14" ht="20.25" customHeight="1">
      <c r="A221" s="49"/>
      <c r="B221" s="49"/>
      <c r="C221" s="50"/>
      <c r="D221" s="62" t="s">
        <v>128</v>
      </c>
      <c r="E221" s="61"/>
      <c r="F221" s="61"/>
      <c r="G221" s="61"/>
      <c r="H221" s="61"/>
      <c r="I221" s="61"/>
      <c r="J221" s="61"/>
      <c r="K221" s="61"/>
      <c r="L221" s="61"/>
      <c r="M221" s="53"/>
      <c r="N221" s="54"/>
    </row>
    <row r="222" spans="1:14" ht="20.25" customHeight="1">
      <c r="A222" s="49"/>
      <c r="B222" s="49"/>
      <c r="C222" s="50"/>
      <c r="D222" s="62" t="s">
        <v>129</v>
      </c>
      <c r="E222" s="61"/>
      <c r="F222" s="61"/>
      <c r="G222" s="61"/>
      <c r="H222" s="61"/>
      <c r="I222" s="61"/>
      <c r="J222" s="61"/>
      <c r="K222" s="61"/>
      <c r="L222" s="61"/>
      <c r="M222" s="53"/>
      <c r="N222" s="54"/>
    </row>
    <row r="223" spans="1:14" ht="20.25" customHeight="1">
      <c r="A223" s="55"/>
      <c r="B223" s="55"/>
      <c r="C223" s="56"/>
      <c r="D223" s="51" t="s">
        <v>131</v>
      </c>
      <c r="E223" s="53">
        <f>SUM(E220,E221)-E222</f>
        <v>961547</v>
      </c>
      <c r="F223" s="53"/>
      <c r="G223" s="53"/>
      <c r="H223" s="53"/>
      <c r="I223" s="53">
        <f>SUM(I220,I221)-I222</f>
        <v>961547</v>
      </c>
      <c r="J223" s="53">
        <f>SUM(J220,J221)-J222</f>
        <v>772755</v>
      </c>
      <c r="K223" s="53">
        <f>SUM(K220,K221)-K222</f>
        <v>188792</v>
      </c>
      <c r="L223" s="53"/>
      <c r="M223" s="53"/>
      <c r="N223" s="54"/>
    </row>
    <row r="224" spans="1:14" ht="20.25" customHeight="1" hidden="1">
      <c r="A224" s="76"/>
      <c r="B224" s="77"/>
      <c r="C224" s="332"/>
      <c r="D224" s="78" t="s">
        <v>127</v>
      </c>
      <c r="E224" s="79">
        <f>SUM(I224)</f>
        <v>0</v>
      </c>
      <c r="F224" s="79"/>
      <c r="G224" s="79"/>
      <c r="H224" s="79"/>
      <c r="I224" s="79">
        <f>SUM(J224:K224)</f>
        <v>0</v>
      </c>
      <c r="J224" s="79"/>
      <c r="K224" s="79"/>
      <c r="L224" s="79"/>
      <c r="M224" s="80"/>
      <c r="N224" s="54"/>
    </row>
    <row r="225" spans="1:14" ht="20.25" customHeight="1" hidden="1">
      <c r="A225" s="81"/>
      <c r="B225" s="81"/>
      <c r="C225" s="333"/>
      <c r="D225" s="78" t="s">
        <v>128</v>
      </c>
      <c r="E225" s="79"/>
      <c r="F225" s="79"/>
      <c r="G225" s="79"/>
      <c r="H225" s="79"/>
      <c r="I225" s="79"/>
      <c r="J225" s="79"/>
      <c r="K225" s="79"/>
      <c r="L225" s="79"/>
      <c r="M225" s="80"/>
      <c r="N225" s="54"/>
    </row>
    <row r="226" spans="1:14" ht="20.25" customHeight="1" hidden="1">
      <c r="A226" s="81"/>
      <c r="B226" s="81"/>
      <c r="C226" s="84"/>
      <c r="D226" s="78" t="s">
        <v>129</v>
      </c>
      <c r="E226" s="79"/>
      <c r="F226" s="79"/>
      <c r="G226" s="79"/>
      <c r="H226" s="79"/>
      <c r="I226" s="79"/>
      <c r="J226" s="79"/>
      <c r="K226" s="79"/>
      <c r="L226" s="79"/>
      <c r="M226" s="80"/>
      <c r="N226" s="54"/>
    </row>
    <row r="227" spans="1:14" ht="20.25" customHeight="1" hidden="1">
      <c r="A227" s="81"/>
      <c r="B227" s="81"/>
      <c r="C227" s="84"/>
      <c r="D227" s="78" t="s">
        <v>131</v>
      </c>
      <c r="E227" s="79">
        <f>SUM(I227)</f>
        <v>0</v>
      </c>
      <c r="F227" s="79"/>
      <c r="G227" s="79"/>
      <c r="H227" s="79"/>
      <c r="I227" s="79">
        <f>SUM(J227:K227)</f>
        <v>0</v>
      </c>
      <c r="J227" s="79"/>
      <c r="K227" s="79">
        <f>SUM(K224,K225)-K226</f>
        <v>0</v>
      </c>
      <c r="L227" s="79"/>
      <c r="M227" s="79"/>
      <c r="N227" s="54"/>
    </row>
    <row r="228" spans="1:14" ht="20.25" customHeight="1">
      <c r="A228" s="57"/>
      <c r="B228" s="58" t="s">
        <v>200</v>
      </c>
      <c r="C228" s="71" t="s">
        <v>81</v>
      </c>
      <c r="D228" s="62" t="s">
        <v>127</v>
      </c>
      <c r="E228" s="61">
        <f>SUM(M228,I228)</f>
        <v>5000</v>
      </c>
      <c r="F228" s="61"/>
      <c r="G228" s="61"/>
      <c r="H228" s="61"/>
      <c r="I228" s="61">
        <f>SUM(J228:L228)</f>
        <v>5000</v>
      </c>
      <c r="J228" s="61"/>
      <c r="K228" s="61">
        <v>5000</v>
      </c>
      <c r="L228" s="61"/>
      <c r="M228" s="53"/>
      <c r="N228" s="54"/>
    </row>
    <row r="229" spans="1:14" ht="20.25" customHeight="1">
      <c r="A229" s="49"/>
      <c r="B229" s="49"/>
      <c r="C229" s="50"/>
      <c r="D229" s="62" t="s">
        <v>128</v>
      </c>
      <c r="E229" s="61"/>
      <c r="F229" s="61"/>
      <c r="G229" s="61"/>
      <c r="H229" s="61"/>
      <c r="I229" s="61"/>
      <c r="J229" s="61"/>
      <c r="K229" s="61"/>
      <c r="L229" s="61"/>
      <c r="M229" s="53"/>
      <c r="N229" s="54"/>
    </row>
    <row r="230" spans="1:14" ht="20.25" customHeight="1">
      <c r="A230" s="49"/>
      <c r="B230" s="49"/>
      <c r="C230" s="50"/>
      <c r="D230" s="62" t="s">
        <v>129</v>
      </c>
      <c r="E230" s="61"/>
      <c r="F230" s="61"/>
      <c r="G230" s="61"/>
      <c r="H230" s="61"/>
      <c r="I230" s="61"/>
      <c r="J230" s="61"/>
      <c r="K230" s="61"/>
      <c r="L230" s="61"/>
      <c r="M230" s="53"/>
      <c r="N230" s="54"/>
    </row>
    <row r="231" spans="1:14" ht="20.25" customHeight="1">
      <c r="A231" s="55"/>
      <c r="B231" s="55"/>
      <c r="C231" s="56"/>
      <c r="D231" s="51" t="s">
        <v>131</v>
      </c>
      <c r="E231" s="53">
        <f>SUM(E228,E229)-E230</f>
        <v>5000</v>
      </c>
      <c r="F231" s="53"/>
      <c r="G231" s="53"/>
      <c r="H231" s="53"/>
      <c r="I231" s="53">
        <f>SUM(I228,I229)-I230</f>
        <v>5000</v>
      </c>
      <c r="J231" s="53"/>
      <c r="K231" s="53">
        <f>SUM(K228,K229)-K230</f>
        <v>5000</v>
      </c>
      <c r="L231" s="53"/>
      <c r="M231" s="53"/>
      <c r="N231" s="54"/>
    </row>
    <row r="232" spans="1:14" ht="20.25" customHeight="1">
      <c r="A232" s="57" t="s">
        <v>201</v>
      </c>
      <c r="B232" s="58"/>
      <c r="C232" s="330" t="s">
        <v>94</v>
      </c>
      <c r="D232" s="62" t="s">
        <v>127</v>
      </c>
      <c r="E232" s="63">
        <f>SUM(E236,E240,E244,E248,E252,E256,E260,E264)</f>
        <v>3130831</v>
      </c>
      <c r="F232" s="63"/>
      <c r="G232" s="63"/>
      <c r="H232" s="63"/>
      <c r="I232" s="63">
        <f>SUM(I236,I240,I244,I248,I252,I256,I260,I264)</f>
        <v>3130831</v>
      </c>
      <c r="J232" s="63">
        <f>SUM(J236,J240,J244,J248,J252,J260,J264)</f>
        <v>2203012</v>
      </c>
      <c r="K232" s="63">
        <f>SUM(K236,K240,K244,K248,K252,K256,K260,K264)</f>
        <v>742719</v>
      </c>
      <c r="L232" s="63">
        <f>SUM(L236,L240,L244,L248,L252,L256,L260,L264)</f>
        <v>185100</v>
      </c>
      <c r="M232" s="63"/>
      <c r="N232" s="54"/>
    </row>
    <row r="233" spans="1:14" ht="20.25" customHeight="1">
      <c r="A233" s="49"/>
      <c r="B233" s="49"/>
      <c r="C233" s="331"/>
      <c r="D233" s="62" t="s">
        <v>128</v>
      </c>
      <c r="E233" s="63">
        <f>SUM(E237,E241,E245,E249,E253,E257,E261,E265)</f>
        <v>7595</v>
      </c>
      <c r="F233" s="63"/>
      <c r="G233" s="63"/>
      <c r="H233" s="63"/>
      <c r="I233" s="63">
        <f>SUM(I237,I241,I245,I249,I253,I257,I261,I265)</f>
        <v>7595</v>
      </c>
      <c r="J233" s="63"/>
      <c r="K233" s="63">
        <f>SUM(K237,K241,K245,K249,K253,K257,K261,K265)</f>
        <v>7595</v>
      </c>
      <c r="L233" s="63"/>
      <c r="M233" s="63"/>
      <c r="N233" s="54"/>
    </row>
    <row r="234" spans="1:14" ht="20.25" customHeight="1">
      <c r="A234" s="49"/>
      <c r="B234" s="49"/>
      <c r="C234" s="50"/>
      <c r="D234" s="62" t="s">
        <v>129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54"/>
    </row>
    <row r="235" spans="1:14" ht="20.25" customHeight="1">
      <c r="A235" s="55"/>
      <c r="B235" s="55"/>
      <c r="C235" s="56"/>
      <c r="D235" s="51" t="s">
        <v>131</v>
      </c>
      <c r="E235" s="52">
        <f>SUM(E239,E243,E247,E251,E255,E259,E263,E267)</f>
        <v>3138426</v>
      </c>
      <c r="F235" s="52"/>
      <c r="G235" s="52"/>
      <c r="H235" s="52"/>
      <c r="I235" s="52">
        <f>SUM(I232:I233)-I234</f>
        <v>3138426</v>
      </c>
      <c r="J235" s="52">
        <f>SUM(J239,J243,J247,J251,J255,J263,J267)</f>
        <v>2203012</v>
      </c>
      <c r="K235" s="52">
        <f>SUM(K232:K233)-K234</f>
        <v>750314</v>
      </c>
      <c r="L235" s="52">
        <f>SUM(L239,L243,L247,L251,L255,L263,L267)</f>
        <v>185100</v>
      </c>
      <c r="M235" s="52"/>
      <c r="N235" s="54"/>
    </row>
    <row r="236" spans="1:14" ht="20.25" customHeight="1">
      <c r="A236" s="57"/>
      <c r="B236" s="58" t="s">
        <v>202</v>
      </c>
      <c r="C236" s="314" t="s">
        <v>95</v>
      </c>
      <c r="D236" s="62" t="s">
        <v>127</v>
      </c>
      <c r="E236" s="61">
        <f>SUM(I236,M236)</f>
        <v>1104131</v>
      </c>
      <c r="F236" s="61"/>
      <c r="G236" s="61"/>
      <c r="H236" s="61"/>
      <c r="I236" s="61">
        <f>SUM(K236,L236,J236)</f>
        <v>1104131</v>
      </c>
      <c r="J236" s="61">
        <v>831810</v>
      </c>
      <c r="K236" s="61">
        <f>3660+238991+29670</f>
        <v>272321</v>
      </c>
      <c r="L236" s="61"/>
      <c r="M236" s="53"/>
      <c r="N236" s="54"/>
    </row>
    <row r="237" spans="1:14" ht="20.25" customHeight="1">
      <c r="A237" s="49"/>
      <c r="B237" s="49"/>
      <c r="C237" s="311"/>
      <c r="D237" s="62" t="s">
        <v>128</v>
      </c>
      <c r="E237" s="61"/>
      <c r="F237" s="61"/>
      <c r="G237" s="61"/>
      <c r="H237" s="61"/>
      <c r="I237" s="61"/>
      <c r="J237" s="61"/>
      <c r="K237" s="61"/>
      <c r="L237" s="61"/>
      <c r="M237" s="53"/>
      <c r="N237" s="54"/>
    </row>
    <row r="238" spans="1:14" ht="20.25" customHeight="1">
      <c r="A238" s="49"/>
      <c r="B238" s="49"/>
      <c r="C238" s="50"/>
      <c r="D238" s="62" t="s">
        <v>129</v>
      </c>
      <c r="E238" s="61"/>
      <c r="F238" s="61"/>
      <c r="G238" s="61"/>
      <c r="H238" s="61"/>
      <c r="I238" s="61"/>
      <c r="J238" s="61"/>
      <c r="K238" s="61"/>
      <c r="L238" s="61"/>
      <c r="M238" s="53"/>
      <c r="N238" s="54"/>
    </row>
    <row r="239" spans="1:14" ht="20.25" customHeight="1">
      <c r="A239" s="55"/>
      <c r="B239" s="55"/>
      <c r="C239" s="56"/>
      <c r="D239" s="51" t="s">
        <v>131</v>
      </c>
      <c r="E239" s="53">
        <f>SUM(E236,E237)-E238</f>
        <v>1104131</v>
      </c>
      <c r="F239" s="53"/>
      <c r="G239" s="53"/>
      <c r="H239" s="53"/>
      <c r="I239" s="53">
        <f>SUM(I236,I237)-I238</f>
        <v>1104131</v>
      </c>
      <c r="J239" s="53">
        <f>SUM(J236,J237)-J238</f>
        <v>831810</v>
      </c>
      <c r="K239" s="53">
        <f>SUM(K236,K237)-K238</f>
        <v>272321</v>
      </c>
      <c r="L239" s="53"/>
      <c r="M239" s="53"/>
      <c r="N239" s="54"/>
    </row>
    <row r="240" spans="1:14" ht="20.25" customHeight="1">
      <c r="A240" s="57"/>
      <c r="B240" s="58" t="s">
        <v>203</v>
      </c>
      <c r="C240" s="314" t="s">
        <v>204</v>
      </c>
      <c r="D240" s="62" t="s">
        <v>127</v>
      </c>
      <c r="E240" s="61">
        <f>SUM(I240,M240)</f>
        <v>710208</v>
      </c>
      <c r="F240" s="61"/>
      <c r="G240" s="61"/>
      <c r="H240" s="61"/>
      <c r="I240" s="61">
        <f>SUM(K240,L240,J240)</f>
        <v>710208</v>
      </c>
      <c r="J240" s="61">
        <f>254789+363695-20000</f>
        <v>598484</v>
      </c>
      <c r="K240" s="61">
        <f>988+25187+11214+739+17447+18149+20000</f>
        <v>93724</v>
      </c>
      <c r="L240" s="61">
        <v>18000</v>
      </c>
      <c r="M240" s="53"/>
      <c r="N240" s="54"/>
    </row>
    <row r="241" spans="1:14" ht="20.25" customHeight="1">
      <c r="A241" s="49"/>
      <c r="B241" s="49"/>
      <c r="C241" s="311"/>
      <c r="D241" s="62" t="s">
        <v>128</v>
      </c>
      <c r="E241" s="61"/>
      <c r="F241" s="61"/>
      <c r="G241" s="61"/>
      <c r="H241" s="61"/>
      <c r="I241" s="61"/>
      <c r="J241" s="61"/>
      <c r="K241" s="61"/>
      <c r="L241" s="61"/>
      <c r="M241" s="53"/>
      <c r="N241" s="54"/>
    </row>
    <row r="242" spans="1:14" ht="20.25" customHeight="1">
      <c r="A242" s="49"/>
      <c r="B242" s="49"/>
      <c r="C242" s="50"/>
      <c r="D242" s="62" t="s">
        <v>129</v>
      </c>
      <c r="E242" s="61"/>
      <c r="F242" s="61"/>
      <c r="G242" s="61"/>
      <c r="H242" s="61"/>
      <c r="I242" s="61"/>
      <c r="J242" s="61"/>
      <c r="K242" s="61"/>
      <c r="L242" s="61"/>
      <c r="M242" s="53"/>
      <c r="N242" s="54"/>
    </row>
    <row r="243" spans="1:14" ht="20.25" customHeight="1">
      <c r="A243" s="55"/>
      <c r="B243" s="55"/>
      <c r="C243" s="56"/>
      <c r="D243" s="51" t="s">
        <v>131</v>
      </c>
      <c r="E243" s="53">
        <f>SUM(E240,E241)-E242</f>
        <v>710208</v>
      </c>
      <c r="F243" s="53"/>
      <c r="G243" s="53"/>
      <c r="H243" s="53"/>
      <c r="I243" s="53">
        <f>SUM(I240,I241)-I242</f>
        <v>710208</v>
      </c>
      <c r="J243" s="53">
        <f>SUM(J240,J241)-J242</f>
        <v>598484</v>
      </c>
      <c r="K243" s="53">
        <f>SUM(K240,K241)-K242</f>
        <v>93724</v>
      </c>
      <c r="L243" s="53">
        <f>SUM(L240,L241)-L242</f>
        <v>18000</v>
      </c>
      <c r="M243" s="53"/>
      <c r="N243" s="54"/>
    </row>
    <row r="244" spans="1:14" ht="20.25" customHeight="1">
      <c r="A244" s="57"/>
      <c r="B244" s="58" t="s">
        <v>205</v>
      </c>
      <c r="C244" s="314" t="s">
        <v>97</v>
      </c>
      <c r="D244" s="62" t="s">
        <v>127</v>
      </c>
      <c r="E244" s="61">
        <f>SUM(I244,M244)</f>
        <v>370275</v>
      </c>
      <c r="F244" s="61"/>
      <c r="G244" s="61"/>
      <c r="H244" s="61"/>
      <c r="I244" s="61">
        <f>SUM(K244,L244,J244)</f>
        <v>370275</v>
      </c>
      <c r="J244" s="61">
        <v>304916</v>
      </c>
      <c r="K244" s="61">
        <f>50697+420+14242</f>
        <v>65359</v>
      </c>
      <c r="L244" s="61"/>
      <c r="M244" s="53"/>
      <c r="N244" s="54"/>
    </row>
    <row r="245" spans="1:14" ht="20.25" customHeight="1">
      <c r="A245" s="49"/>
      <c r="B245" s="49"/>
      <c r="C245" s="311"/>
      <c r="D245" s="62" t="s">
        <v>128</v>
      </c>
      <c r="E245" s="61"/>
      <c r="F245" s="61"/>
      <c r="G245" s="61"/>
      <c r="H245" s="61"/>
      <c r="I245" s="61"/>
      <c r="J245" s="61"/>
      <c r="K245" s="61"/>
      <c r="L245" s="61"/>
      <c r="M245" s="53"/>
      <c r="N245" s="54"/>
    </row>
    <row r="246" spans="1:14" ht="20.25" customHeight="1">
      <c r="A246" s="49"/>
      <c r="B246" s="49"/>
      <c r="C246" s="50"/>
      <c r="D246" s="62" t="s">
        <v>129</v>
      </c>
      <c r="E246" s="61"/>
      <c r="F246" s="61"/>
      <c r="G246" s="61"/>
      <c r="H246" s="61"/>
      <c r="I246" s="61"/>
      <c r="J246" s="61"/>
      <c r="K246" s="61"/>
      <c r="L246" s="61"/>
      <c r="M246" s="53"/>
      <c r="N246" s="54"/>
    </row>
    <row r="247" spans="1:14" ht="20.25" customHeight="1">
      <c r="A247" s="55"/>
      <c r="B247" s="55"/>
      <c r="C247" s="56"/>
      <c r="D247" s="51" t="s">
        <v>131</v>
      </c>
      <c r="E247" s="53">
        <f>SUM(E244,E245)-E246</f>
        <v>370275</v>
      </c>
      <c r="F247" s="53"/>
      <c r="G247" s="53"/>
      <c r="H247" s="53"/>
      <c r="I247" s="53">
        <f>SUM(I244,I245)-I246</f>
        <v>370275</v>
      </c>
      <c r="J247" s="53">
        <f>SUM(J244,J245)-J246</f>
        <v>304916</v>
      </c>
      <c r="K247" s="53">
        <f>SUM(K244,K245)-K246</f>
        <v>65359</v>
      </c>
      <c r="L247" s="53"/>
      <c r="M247" s="53"/>
      <c r="N247" s="54"/>
    </row>
    <row r="248" spans="1:14" ht="20.25" customHeight="1">
      <c r="A248" s="57"/>
      <c r="B248" s="58" t="s">
        <v>206</v>
      </c>
      <c r="C248" s="71" t="s">
        <v>98</v>
      </c>
      <c r="D248" s="62" t="s">
        <v>127</v>
      </c>
      <c r="E248" s="61">
        <f>SUM(I248,M248)</f>
        <v>939117</v>
      </c>
      <c r="F248" s="61"/>
      <c r="G248" s="61"/>
      <c r="H248" s="61"/>
      <c r="I248" s="61">
        <f>SUM(J248:L248)</f>
        <v>939117</v>
      </c>
      <c r="J248" s="61">
        <f>209455+160647+97700</f>
        <v>467802</v>
      </c>
      <c r="K248" s="61">
        <f>1900+86190+7455+8293+166382+6803+404+30002+3886</f>
        <v>311315</v>
      </c>
      <c r="L248" s="61">
        <v>160000</v>
      </c>
      <c r="M248" s="53"/>
      <c r="N248" s="54"/>
    </row>
    <row r="249" spans="1:14" ht="20.25" customHeight="1">
      <c r="A249" s="49"/>
      <c r="B249" s="49"/>
      <c r="C249" s="50"/>
      <c r="D249" s="62" t="s">
        <v>128</v>
      </c>
      <c r="E249" s="61">
        <f>SUM(I249,M249)</f>
        <v>7595</v>
      </c>
      <c r="F249" s="61"/>
      <c r="G249" s="61"/>
      <c r="H249" s="61"/>
      <c r="I249" s="61">
        <f>SUM(J249:L249)</f>
        <v>7595</v>
      </c>
      <c r="J249" s="61"/>
      <c r="K249" s="61">
        <v>7595</v>
      </c>
      <c r="L249" s="61"/>
      <c r="M249" s="53"/>
      <c r="N249" s="54"/>
    </row>
    <row r="250" spans="1:14" ht="20.25" customHeight="1">
      <c r="A250" s="49"/>
      <c r="B250" s="49"/>
      <c r="C250" s="50"/>
      <c r="D250" s="62" t="s">
        <v>129</v>
      </c>
      <c r="E250" s="61"/>
      <c r="F250" s="61"/>
      <c r="G250" s="61"/>
      <c r="H250" s="61"/>
      <c r="I250" s="61"/>
      <c r="J250" s="61"/>
      <c r="K250" s="61"/>
      <c r="L250" s="61"/>
      <c r="M250" s="53"/>
      <c r="N250" s="54"/>
    </row>
    <row r="251" spans="1:14" ht="20.25" customHeight="1">
      <c r="A251" s="55"/>
      <c r="B251" s="55"/>
      <c r="C251" s="56"/>
      <c r="D251" s="51" t="s">
        <v>131</v>
      </c>
      <c r="E251" s="53">
        <f>SUM(E248,E249)-E250</f>
        <v>946712</v>
      </c>
      <c r="F251" s="53"/>
      <c r="G251" s="53"/>
      <c r="H251" s="53"/>
      <c r="I251" s="53">
        <f>SUM(I248,I249)-I250</f>
        <v>946712</v>
      </c>
      <c r="J251" s="53">
        <f>SUM(J248,J249)-J250</f>
        <v>467802</v>
      </c>
      <c r="K251" s="53">
        <f>SUM(K248,K249)-K250</f>
        <v>318910</v>
      </c>
      <c r="L251" s="53">
        <f>SUM(L248,L249)-L250</f>
        <v>160000</v>
      </c>
      <c r="M251" s="53"/>
      <c r="N251" s="54"/>
    </row>
    <row r="252" spans="1:14" ht="20.25" customHeight="1">
      <c r="A252" s="57"/>
      <c r="B252" s="58" t="s">
        <v>207</v>
      </c>
      <c r="C252" s="314" t="s">
        <v>208</v>
      </c>
      <c r="D252" s="62" t="s">
        <v>127</v>
      </c>
      <c r="E252" s="61">
        <f>SUM(I252,M252)</f>
        <v>5000</v>
      </c>
      <c r="F252" s="61"/>
      <c r="G252" s="61"/>
      <c r="H252" s="61"/>
      <c r="I252" s="61">
        <f>SUM(K252,L252,J252)</f>
        <v>5000</v>
      </c>
      <c r="J252" s="61"/>
      <c r="K252" s="61"/>
      <c r="L252" s="61">
        <v>5000</v>
      </c>
      <c r="M252" s="53"/>
      <c r="N252" s="54"/>
    </row>
    <row r="253" spans="1:14" ht="20.25" customHeight="1">
      <c r="A253" s="49"/>
      <c r="B253" s="49"/>
      <c r="C253" s="311"/>
      <c r="D253" s="62" t="s">
        <v>128</v>
      </c>
      <c r="E253" s="61"/>
      <c r="F253" s="61"/>
      <c r="G253" s="61"/>
      <c r="H253" s="61"/>
      <c r="I253" s="61"/>
      <c r="J253" s="61"/>
      <c r="K253" s="61"/>
      <c r="L253" s="61"/>
      <c r="M253" s="53"/>
      <c r="N253" s="54"/>
    </row>
    <row r="254" spans="1:14" ht="20.25" customHeight="1">
      <c r="A254" s="49"/>
      <c r="B254" s="49"/>
      <c r="C254" s="50"/>
      <c r="D254" s="62" t="s">
        <v>129</v>
      </c>
      <c r="E254" s="61"/>
      <c r="F254" s="61"/>
      <c r="G254" s="61"/>
      <c r="H254" s="61"/>
      <c r="I254" s="61"/>
      <c r="J254" s="61"/>
      <c r="K254" s="61"/>
      <c r="L254" s="61"/>
      <c r="M254" s="53"/>
      <c r="N254" s="54"/>
    </row>
    <row r="255" spans="1:14" ht="20.25" customHeight="1">
      <c r="A255" s="55"/>
      <c r="B255" s="55"/>
      <c r="C255" s="56"/>
      <c r="D255" s="51" t="s">
        <v>131</v>
      </c>
      <c r="E255" s="53">
        <f>SUM(E252,E253)-E254</f>
        <v>5000</v>
      </c>
      <c r="F255" s="53"/>
      <c r="G255" s="53"/>
      <c r="H255" s="53"/>
      <c r="I255" s="53">
        <f>SUM(I252,I253)-I254</f>
        <v>5000</v>
      </c>
      <c r="J255" s="53"/>
      <c r="K255" s="53"/>
      <c r="L255" s="53">
        <f>SUM(L252,L253)-L254</f>
        <v>5000</v>
      </c>
      <c r="M255" s="53"/>
      <c r="N255" s="54"/>
    </row>
    <row r="256" spans="1:14" ht="20.25" customHeight="1" hidden="1">
      <c r="A256" s="76"/>
      <c r="B256" s="77" t="s">
        <v>209</v>
      </c>
      <c r="C256" s="332" t="s">
        <v>210</v>
      </c>
      <c r="D256" s="78" t="s">
        <v>127</v>
      </c>
      <c r="E256" s="79">
        <f>SUM(I256)</f>
        <v>0</v>
      </c>
      <c r="F256" s="79"/>
      <c r="G256" s="79"/>
      <c r="H256" s="79"/>
      <c r="I256" s="79">
        <f>SUM(J256:L256)</f>
        <v>0</v>
      </c>
      <c r="J256" s="79"/>
      <c r="K256" s="79"/>
      <c r="L256" s="79"/>
      <c r="M256" s="80"/>
      <c r="N256" s="54"/>
    </row>
    <row r="257" spans="1:14" ht="20.25" customHeight="1" hidden="1">
      <c r="A257" s="81"/>
      <c r="B257" s="81"/>
      <c r="C257" s="333"/>
      <c r="D257" s="78" t="s">
        <v>128</v>
      </c>
      <c r="E257" s="79"/>
      <c r="F257" s="79"/>
      <c r="G257" s="79"/>
      <c r="H257" s="79"/>
      <c r="I257" s="79"/>
      <c r="J257" s="79"/>
      <c r="K257" s="79"/>
      <c r="L257" s="79"/>
      <c r="M257" s="80"/>
      <c r="N257" s="54"/>
    </row>
    <row r="258" spans="1:14" ht="20.25" customHeight="1" hidden="1">
      <c r="A258" s="81"/>
      <c r="B258" s="81"/>
      <c r="C258" s="84"/>
      <c r="D258" s="78" t="s">
        <v>129</v>
      </c>
      <c r="E258" s="79"/>
      <c r="F258" s="79"/>
      <c r="G258" s="79"/>
      <c r="H258" s="79"/>
      <c r="I258" s="79"/>
      <c r="J258" s="79"/>
      <c r="K258" s="79"/>
      <c r="L258" s="79"/>
      <c r="M258" s="80"/>
      <c r="N258" s="54"/>
    </row>
    <row r="259" spans="1:14" ht="20.25" customHeight="1" hidden="1">
      <c r="A259" s="81"/>
      <c r="B259" s="81"/>
      <c r="C259" s="84"/>
      <c r="D259" s="78" t="s">
        <v>131</v>
      </c>
      <c r="E259" s="79">
        <f>SUM(E256,E257)-E258</f>
        <v>0</v>
      </c>
      <c r="F259" s="79"/>
      <c r="G259" s="79"/>
      <c r="H259" s="79"/>
      <c r="I259" s="79">
        <f>SUM(I256,I257)-I258</f>
        <v>0</v>
      </c>
      <c r="J259" s="79"/>
      <c r="K259" s="79">
        <f>SUM(K256,K257)-K258</f>
        <v>0</v>
      </c>
      <c r="L259" s="79">
        <f>SUM(L256,L257)-L258</f>
        <v>0</v>
      </c>
      <c r="M259" s="80"/>
      <c r="N259" s="54"/>
    </row>
    <row r="260" spans="1:14" ht="20.25" customHeight="1">
      <c r="A260" s="57"/>
      <c r="B260" s="58" t="s">
        <v>211</v>
      </c>
      <c r="C260" s="314" t="s">
        <v>212</v>
      </c>
      <c r="D260" s="62" t="s">
        <v>127</v>
      </c>
      <c r="E260" s="61">
        <f>SUM(I260,M260)</f>
        <v>2100</v>
      </c>
      <c r="F260" s="61"/>
      <c r="G260" s="61"/>
      <c r="H260" s="61"/>
      <c r="I260" s="61">
        <f>SUM(K260,L260,J260)</f>
        <v>2100</v>
      </c>
      <c r="J260" s="61"/>
      <c r="K260" s="61"/>
      <c r="L260" s="61">
        <v>2100</v>
      </c>
      <c r="M260" s="53"/>
      <c r="N260" s="54"/>
    </row>
    <row r="261" spans="1:14" ht="20.25" customHeight="1">
      <c r="A261" s="49" t="s">
        <v>130</v>
      </c>
      <c r="B261" s="49"/>
      <c r="C261" s="311"/>
      <c r="D261" s="62" t="s">
        <v>128</v>
      </c>
      <c r="E261" s="61"/>
      <c r="F261" s="61"/>
      <c r="G261" s="61"/>
      <c r="H261" s="61"/>
      <c r="I261" s="61"/>
      <c r="J261" s="61"/>
      <c r="K261" s="61"/>
      <c r="L261" s="61"/>
      <c r="M261" s="53"/>
      <c r="N261" s="54"/>
    </row>
    <row r="262" spans="1:14" ht="20.25" customHeight="1">
      <c r="A262" s="49"/>
      <c r="B262" s="49"/>
      <c r="C262" s="50"/>
      <c r="D262" s="62" t="s">
        <v>129</v>
      </c>
      <c r="E262" s="61"/>
      <c r="F262" s="61"/>
      <c r="G262" s="61"/>
      <c r="H262" s="61"/>
      <c r="I262" s="61"/>
      <c r="J262" s="61"/>
      <c r="K262" s="61"/>
      <c r="L262" s="61"/>
      <c r="M262" s="53"/>
      <c r="N262" s="54"/>
    </row>
    <row r="263" spans="1:14" ht="20.25" customHeight="1">
      <c r="A263" s="55"/>
      <c r="B263" s="55"/>
      <c r="C263" s="56"/>
      <c r="D263" s="51" t="s">
        <v>131</v>
      </c>
      <c r="E263" s="53">
        <f>SUM(E260,E261)-E262</f>
        <v>2100</v>
      </c>
      <c r="F263" s="53"/>
      <c r="G263" s="53"/>
      <c r="H263" s="53"/>
      <c r="I263" s="53">
        <f>SUM(I260,I261)-I262</f>
        <v>2100</v>
      </c>
      <c r="J263" s="53"/>
      <c r="K263" s="53"/>
      <c r="L263" s="53">
        <f>SUM(L260,L261)-L262</f>
        <v>2100</v>
      </c>
      <c r="M263" s="53"/>
      <c r="N263" s="54"/>
    </row>
    <row r="264" spans="1:14" ht="20.25" customHeight="1" hidden="1">
      <c r="A264" s="92"/>
      <c r="B264" s="93" t="s">
        <v>213</v>
      </c>
      <c r="C264" s="312" t="s">
        <v>172</v>
      </c>
      <c r="D264" s="94" t="s">
        <v>127</v>
      </c>
      <c r="E264" s="95">
        <f>SUM(I264,M264)</f>
        <v>0</v>
      </c>
      <c r="F264" s="95"/>
      <c r="G264" s="95"/>
      <c r="H264" s="95"/>
      <c r="I264" s="95">
        <f>SUM(K264,L264,J264)</f>
        <v>0</v>
      </c>
      <c r="J264" s="95"/>
      <c r="K264" s="95"/>
      <c r="L264" s="95"/>
      <c r="M264" s="96"/>
      <c r="N264" s="54"/>
    </row>
    <row r="265" spans="1:14" ht="20.25" customHeight="1" hidden="1">
      <c r="A265" s="97"/>
      <c r="B265" s="97"/>
      <c r="C265" s="329"/>
      <c r="D265" s="94" t="s">
        <v>128</v>
      </c>
      <c r="E265" s="95"/>
      <c r="F265" s="95"/>
      <c r="G265" s="95"/>
      <c r="H265" s="95"/>
      <c r="I265" s="95"/>
      <c r="J265" s="95"/>
      <c r="K265" s="95"/>
      <c r="L265" s="95"/>
      <c r="M265" s="96"/>
      <c r="N265" s="54"/>
    </row>
    <row r="266" spans="1:14" ht="20.25" customHeight="1" hidden="1">
      <c r="A266" s="97"/>
      <c r="B266" s="97"/>
      <c r="C266" s="98"/>
      <c r="D266" s="94" t="s">
        <v>129</v>
      </c>
      <c r="E266" s="95"/>
      <c r="F266" s="95"/>
      <c r="G266" s="95"/>
      <c r="H266" s="95"/>
      <c r="I266" s="95"/>
      <c r="J266" s="95"/>
      <c r="K266" s="95"/>
      <c r="L266" s="95"/>
      <c r="M266" s="96"/>
      <c r="N266" s="54"/>
    </row>
    <row r="267" spans="1:14" ht="20.25" customHeight="1" hidden="1">
      <c r="A267" s="99"/>
      <c r="B267" s="99"/>
      <c r="C267" s="100"/>
      <c r="D267" s="101" t="s">
        <v>131</v>
      </c>
      <c r="E267" s="96">
        <f>SUM(E264,E265)-E266</f>
        <v>0</v>
      </c>
      <c r="F267" s="96"/>
      <c r="G267" s="96"/>
      <c r="H267" s="96"/>
      <c r="I267" s="96">
        <f>SUM(I264,I265)-I266</f>
        <v>0</v>
      </c>
      <c r="J267" s="96"/>
      <c r="K267" s="96">
        <f>SUM(K264,K265)-K266</f>
        <v>0</v>
      </c>
      <c r="L267" s="96"/>
      <c r="M267" s="96"/>
      <c r="N267" s="54"/>
    </row>
    <row r="268" spans="1:14" ht="20.25" customHeight="1">
      <c r="A268" s="57" t="s">
        <v>214</v>
      </c>
      <c r="B268" s="58"/>
      <c r="C268" s="330" t="s">
        <v>215</v>
      </c>
      <c r="D268" s="62" t="s">
        <v>127</v>
      </c>
      <c r="E268" s="63">
        <f>SUM(E272,E276)</f>
        <v>64500</v>
      </c>
      <c r="F268" s="63"/>
      <c r="G268" s="63"/>
      <c r="H268" s="63"/>
      <c r="I268" s="63">
        <f>SUM(I272,I276)</f>
        <v>64500</v>
      </c>
      <c r="J268" s="63"/>
      <c r="K268" s="63">
        <f>SUM(K272,K276)</f>
        <v>49500</v>
      </c>
      <c r="L268" s="63">
        <f>SUM(L272,L276)</f>
        <v>15000</v>
      </c>
      <c r="M268" s="53"/>
      <c r="N268" s="54"/>
    </row>
    <row r="269" spans="1:14" ht="20.25" customHeight="1">
      <c r="A269" s="49"/>
      <c r="B269" s="49"/>
      <c r="C269" s="331"/>
      <c r="D269" s="62" t="s">
        <v>128</v>
      </c>
      <c r="E269" s="63"/>
      <c r="F269" s="63"/>
      <c r="G269" s="63"/>
      <c r="H269" s="63"/>
      <c r="I269" s="63"/>
      <c r="J269" s="63"/>
      <c r="K269" s="63"/>
      <c r="L269" s="63"/>
      <c r="M269" s="53"/>
      <c r="N269" s="54"/>
    </row>
    <row r="270" spans="1:14" ht="20.25" customHeight="1">
      <c r="A270" s="49"/>
      <c r="B270" s="49"/>
      <c r="C270" s="50"/>
      <c r="D270" s="62" t="s">
        <v>129</v>
      </c>
      <c r="E270" s="63"/>
      <c r="F270" s="63"/>
      <c r="G270" s="63"/>
      <c r="H270" s="63"/>
      <c r="I270" s="63"/>
      <c r="J270" s="63"/>
      <c r="K270" s="63"/>
      <c r="L270" s="63"/>
      <c r="M270" s="53"/>
      <c r="N270" s="54"/>
    </row>
    <row r="271" spans="1:14" ht="20.25" customHeight="1">
      <c r="A271" s="55"/>
      <c r="B271" s="55"/>
      <c r="C271" s="56"/>
      <c r="D271" s="51" t="s">
        <v>131</v>
      </c>
      <c r="E271" s="52">
        <f>SUM(E275,E279)</f>
        <v>64500</v>
      </c>
      <c r="F271" s="52"/>
      <c r="G271" s="52"/>
      <c r="H271" s="52"/>
      <c r="I271" s="52">
        <f>SUM(I275,I279)</f>
        <v>64500</v>
      </c>
      <c r="J271" s="52"/>
      <c r="K271" s="52">
        <f>SUM(K275,K279)</f>
        <v>49500</v>
      </c>
      <c r="L271" s="52">
        <f>SUM(L275,L279)</f>
        <v>15000</v>
      </c>
      <c r="M271" s="53"/>
      <c r="N271" s="54"/>
    </row>
    <row r="272" spans="1:14" ht="20.25" customHeight="1">
      <c r="A272" s="57"/>
      <c r="B272" s="58" t="s">
        <v>216</v>
      </c>
      <c r="C272" s="314" t="s">
        <v>217</v>
      </c>
      <c r="D272" s="62" t="s">
        <v>127</v>
      </c>
      <c r="E272" s="61">
        <f>SUM(I272,M272)</f>
        <v>49500</v>
      </c>
      <c r="F272" s="61"/>
      <c r="G272" s="61"/>
      <c r="H272" s="61"/>
      <c r="I272" s="61">
        <f>SUM(K272,L272,J272)</f>
        <v>49500</v>
      </c>
      <c r="J272" s="61"/>
      <c r="K272" s="61">
        <v>49500</v>
      </c>
      <c r="L272" s="61"/>
      <c r="M272" s="53"/>
      <c r="N272" s="54"/>
    </row>
    <row r="273" spans="1:14" ht="20.25" customHeight="1">
      <c r="A273" s="49"/>
      <c r="B273" s="49"/>
      <c r="C273" s="311"/>
      <c r="D273" s="62" t="s">
        <v>128</v>
      </c>
      <c r="E273" s="61"/>
      <c r="F273" s="61"/>
      <c r="G273" s="61"/>
      <c r="H273" s="61"/>
      <c r="I273" s="61"/>
      <c r="J273" s="61"/>
      <c r="K273" s="61"/>
      <c r="L273" s="61"/>
      <c r="M273" s="53"/>
      <c r="N273" s="54"/>
    </row>
    <row r="274" spans="1:14" ht="20.25" customHeight="1">
      <c r="A274" s="49"/>
      <c r="B274" s="49"/>
      <c r="C274" s="50"/>
      <c r="D274" s="62" t="s">
        <v>129</v>
      </c>
      <c r="E274" s="61"/>
      <c r="F274" s="61"/>
      <c r="G274" s="61"/>
      <c r="H274" s="61"/>
      <c r="I274" s="61"/>
      <c r="J274" s="61"/>
      <c r="K274" s="61"/>
      <c r="L274" s="61"/>
      <c r="M274" s="53"/>
      <c r="N274" s="54"/>
    </row>
    <row r="275" spans="1:14" ht="20.25" customHeight="1">
      <c r="A275" s="55"/>
      <c r="B275" s="55"/>
      <c r="C275" s="56"/>
      <c r="D275" s="51" t="s">
        <v>131</v>
      </c>
      <c r="E275" s="53">
        <f>SUM(E272,E273)-E274</f>
        <v>49500</v>
      </c>
      <c r="F275" s="53"/>
      <c r="G275" s="53"/>
      <c r="H275" s="53"/>
      <c r="I275" s="53">
        <f>SUM(I272,I273)-I274</f>
        <v>49500</v>
      </c>
      <c r="J275" s="53"/>
      <c r="K275" s="53">
        <f>SUM(K272,K273)-K274</f>
        <v>49500</v>
      </c>
      <c r="L275" s="53"/>
      <c r="M275" s="53"/>
      <c r="N275" s="54"/>
    </row>
    <row r="276" spans="1:14" ht="20.25" customHeight="1">
      <c r="A276" s="57"/>
      <c r="B276" s="58" t="s">
        <v>218</v>
      </c>
      <c r="C276" s="71" t="s">
        <v>219</v>
      </c>
      <c r="D276" s="62" t="s">
        <v>127</v>
      </c>
      <c r="E276" s="61">
        <f>SUM(I276,M276)</f>
        <v>15000</v>
      </c>
      <c r="F276" s="61"/>
      <c r="G276" s="61"/>
      <c r="H276" s="61"/>
      <c r="I276" s="61">
        <f>SUM(K276,L276,J276)</f>
        <v>15000</v>
      </c>
      <c r="J276" s="61"/>
      <c r="K276" s="61"/>
      <c r="L276" s="61">
        <v>15000</v>
      </c>
      <c r="M276" s="53"/>
      <c r="N276" s="54"/>
    </row>
    <row r="277" spans="1:14" ht="20.25" customHeight="1">
      <c r="A277" s="49"/>
      <c r="B277" s="49"/>
      <c r="C277" s="50"/>
      <c r="D277" s="62" t="s">
        <v>128</v>
      </c>
      <c r="E277" s="61"/>
      <c r="F277" s="61"/>
      <c r="G277" s="61"/>
      <c r="H277" s="61"/>
      <c r="I277" s="61"/>
      <c r="J277" s="61"/>
      <c r="K277" s="61"/>
      <c r="L277" s="61"/>
      <c r="M277" s="53"/>
      <c r="N277" s="54"/>
    </row>
    <row r="278" spans="1:14" ht="20.25" customHeight="1">
      <c r="A278" s="49"/>
      <c r="B278" s="49"/>
      <c r="C278" s="50"/>
      <c r="D278" s="62" t="s">
        <v>129</v>
      </c>
      <c r="E278" s="61"/>
      <c r="F278" s="61"/>
      <c r="G278" s="61"/>
      <c r="H278" s="61"/>
      <c r="I278" s="61"/>
      <c r="J278" s="61"/>
      <c r="K278" s="61"/>
      <c r="L278" s="61"/>
      <c r="M278" s="53"/>
      <c r="N278" s="54"/>
    </row>
    <row r="279" spans="1:14" ht="20.25" customHeight="1">
      <c r="A279" s="55"/>
      <c r="B279" s="55"/>
      <c r="C279" s="56"/>
      <c r="D279" s="51" t="s">
        <v>131</v>
      </c>
      <c r="E279" s="53">
        <f>SUM(E276,E277)-E278</f>
        <v>15000</v>
      </c>
      <c r="F279" s="53"/>
      <c r="G279" s="53"/>
      <c r="H279" s="53"/>
      <c r="I279" s="53">
        <f>SUM(I276,I277)-I278</f>
        <v>15000</v>
      </c>
      <c r="J279" s="53"/>
      <c r="K279" s="53"/>
      <c r="L279" s="53">
        <f>SUM(L276,L277)-L278</f>
        <v>15000</v>
      </c>
      <c r="M279" s="53"/>
      <c r="N279" s="54"/>
    </row>
    <row r="280" spans="1:14" ht="20.25" customHeight="1">
      <c r="A280" s="57" t="s">
        <v>220</v>
      </c>
      <c r="B280" s="58"/>
      <c r="C280" s="74" t="s">
        <v>221</v>
      </c>
      <c r="D280" s="62" t="s">
        <v>127</v>
      </c>
      <c r="E280" s="63">
        <f>SUM(E284)</f>
        <v>31500</v>
      </c>
      <c r="F280" s="63"/>
      <c r="G280" s="63"/>
      <c r="H280" s="63"/>
      <c r="I280" s="63">
        <f>SUM(I284)</f>
        <v>31500</v>
      </c>
      <c r="J280" s="63">
        <f>SUM(J284)</f>
        <v>0</v>
      </c>
      <c r="K280" s="63">
        <f>SUM(K284)</f>
        <v>31500</v>
      </c>
      <c r="L280" s="63"/>
      <c r="M280" s="52"/>
      <c r="N280" s="54"/>
    </row>
    <row r="281" spans="1:14" ht="20.25" customHeight="1">
      <c r="A281" s="49"/>
      <c r="B281" s="49"/>
      <c r="C281" s="50"/>
      <c r="D281" s="62" t="s">
        <v>128</v>
      </c>
      <c r="E281" s="63">
        <f>SUM(E285)</f>
        <v>300</v>
      </c>
      <c r="F281" s="63"/>
      <c r="G281" s="63"/>
      <c r="H281" s="63"/>
      <c r="I281" s="63">
        <f>SUM(I285)</f>
        <v>300</v>
      </c>
      <c r="J281" s="63">
        <f>SUM(J285)</f>
        <v>300</v>
      </c>
      <c r="K281" s="63"/>
      <c r="L281" s="63"/>
      <c r="M281" s="63"/>
      <c r="N281" s="54"/>
    </row>
    <row r="282" spans="1:14" ht="20.25" customHeight="1">
      <c r="A282" s="49"/>
      <c r="B282" s="49"/>
      <c r="C282" s="50"/>
      <c r="D282" s="62" t="s">
        <v>129</v>
      </c>
      <c r="E282" s="63">
        <f>SUM(E286)</f>
        <v>300</v>
      </c>
      <c r="F282" s="63"/>
      <c r="G282" s="63"/>
      <c r="H282" s="63"/>
      <c r="I282" s="63">
        <f>SUM(I286)</f>
        <v>300</v>
      </c>
      <c r="J282" s="63"/>
      <c r="K282" s="63">
        <f>SUM(K286)</f>
        <v>300</v>
      </c>
      <c r="L282" s="63"/>
      <c r="M282" s="63"/>
      <c r="N282" s="54"/>
    </row>
    <row r="283" spans="1:14" ht="20.25" customHeight="1">
      <c r="A283" s="55"/>
      <c r="B283" s="55"/>
      <c r="C283" s="56"/>
      <c r="D283" s="51" t="s">
        <v>131</v>
      </c>
      <c r="E283" s="52">
        <f>SUM(E287)</f>
        <v>31500</v>
      </c>
      <c r="F283" s="52"/>
      <c r="G283" s="52"/>
      <c r="H283" s="52"/>
      <c r="I283" s="52">
        <f>SUM(I287)</f>
        <v>31500</v>
      </c>
      <c r="J283" s="63">
        <f>SUM(J287)</f>
        <v>300</v>
      </c>
      <c r="K283" s="52">
        <f>SUM(K287)</f>
        <v>31200</v>
      </c>
      <c r="L283" s="52"/>
      <c r="M283" s="52"/>
      <c r="N283" s="54"/>
    </row>
    <row r="284" spans="1:14" ht="20.25" customHeight="1">
      <c r="A284" s="57"/>
      <c r="B284" s="58" t="s">
        <v>222</v>
      </c>
      <c r="C284" s="71" t="s">
        <v>81</v>
      </c>
      <c r="D284" s="62" t="s">
        <v>127</v>
      </c>
      <c r="E284" s="61">
        <f>SUM(I284,M284)</f>
        <v>31500</v>
      </c>
      <c r="F284" s="61"/>
      <c r="G284" s="61"/>
      <c r="H284" s="61"/>
      <c r="I284" s="61">
        <f>SUM(K284,L284,J284)</f>
        <v>31500</v>
      </c>
      <c r="J284" s="61"/>
      <c r="K284" s="61">
        <f>21500+10000</f>
        <v>31500</v>
      </c>
      <c r="L284" s="61"/>
      <c r="M284" s="53"/>
      <c r="N284" s="54"/>
    </row>
    <row r="285" spans="1:14" ht="20.25" customHeight="1">
      <c r="A285" s="49"/>
      <c r="B285" s="49"/>
      <c r="C285" s="50"/>
      <c r="D285" s="62" t="s">
        <v>128</v>
      </c>
      <c r="E285" s="61">
        <f>SUM(I285,M285)</f>
        <v>300</v>
      </c>
      <c r="F285" s="61"/>
      <c r="G285" s="61"/>
      <c r="H285" s="61"/>
      <c r="I285" s="61">
        <f>SUM(K285,L285,J285)</f>
        <v>300</v>
      </c>
      <c r="J285" s="61">
        <v>300</v>
      </c>
      <c r="K285" s="61"/>
      <c r="L285" s="61"/>
      <c r="M285" s="53"/>
      <c r="N285" s="54"/>
    </row>
    <row r="286" spans="1:14" ht="20.25" customHeight="1">
      <c r="A286" s="49"/>
      <c r="B286" s="49"/>
      <c r="C286" s="50"/>
      <c r="D286" s="62" t="s">
        <v>129</v>
      </c>
      <c r="E286" s="61">
        <f>SUM(I286,M286)</f>
        <v>300</v>
      </c>
      <c r="F286" s="61"/>
      <c r="G286" s="61"/>
      <c r="H286" s="61"/>
      <c r="I286" s="61">
        <f>SUM(K286,L286,J286)</f>
        <v>300</v>
      </c>
      <c r="J286" s="61"/>
      <c r="K286" s="61">
        <v>300</v>
      </c>
      <c r="L286" s="61"/>
      <c r="M286" s="53"/>
      <c r="N286" s="54"/>
    </row>
    <row r="287" spans="1:14" ht="20.25" customHeight="1">
      <c r="A287" s="55"/>
      <c r="B287" s="55"/>
      <c r="C287" s="56"/>
      <c r="D287" s="51" t="s">
        <v>131</v>
      </c>
      <c r="E287" s="53">
        <f>SUM(E284,E285)-E286</f>
        <v>31500</v>
      </c>
      <c r="F287" s="53"/>
      <c r="G287" s="53"/>
      <c r="H287" s="53"/>
      <c r="I287" s="53">
        <f>SUM(I284,I285)-I286</f>
        <v>31500</v>
      </c>
      <c r="J287" s="53">
        <f>SUM(J284,J285)-J286</f>
        <v>300</v>
      </c>
      <c r="K287" s="53">
        <f>SUM(K284,K285)-K286</f>
        <v>31200</v>
      </c>
      <c r="L287" s="53"/>
      <c r="M287" s="53"/>
      <c r="N287" s="54"/>
    </row>
    <row r="288" spans="1:14" ht="20.25" customHeight="1">
      <c r="A288" s="321" t="s">
        <v>100</v>
      </c>
      <c r="B288" s="322"/>
      <c r="C288" s="323"/>
      <c r="D288" s="59" t="s">
        <v>127</v>
      </c>
      <c r="E288" s="52">
        <f>SUM(I288,M288)</f>
        <v>34480151</v>
      </c>
      <c r="F288" s="52">
        <f aca="true" t="shared" si="7" ref="F288:H291">SUM(F16,F28,F40,F48,F56,F72,F92,F108,F116,F124,F156,F176,F208,F232,F268,F280)</f>
        <v>3928793</v>
      </c>
      <c r="G288" s="52">
        <f t="shared" si="7"/>
        <v>70000</v>
      </c>
      <c r="H288" s="52">
        <f t="shared" si="7"/>
        <v>13000</v>
      </c>
      <c r="I288" s="52">
        <f>SUM(J288:L288)</f>
        <v>32166151</v>
      </c>
      <c r="J288" s="52">
        <f>SUM(J16,J28,J40,J48,J56,J72,J92,J108,J116,J124,J156,J176,J208,J232,J268,J280)</f>
        <v>21358365</v>
      </c>
      <c r="K288" s="52">
        <f>SUM(K16,K28,K40,K48,K56,K72,K92,K108,K116,K124,K156,K176,K208,K232,K268,K280)</f>
        <v>10016892</v>
      </c>
      <c r="L288" s="52">
        <f>SUM(L16,L28,L40,L48,L56,L72,L92,L108,L116,L124,L156,L176,L208,L232,L268,L280)</f>
        <v>790894</v>
      </c>
      <c r="M288" s="52">
        <f>SUM(M16,M28,M40,M48,M56,M72,M92,M108,M116,M124,M156,M176,M208,M232,M268,M280)</f>
        <v>2314000</v>
      </c>
      <c r="N288" s="54"/>
    </row>
    <row r="289" spans="1:14" ht="20.25" customHeight="1">
      <c r="A289" s="324"/>
      <c r="B289" s="325"/>
      <c r="C289" s="326"/>
      <c r="D289" s="59" t="s">
        <v>128</v>
      </c>
      <c r="E289" s="52">
        <f>SUM(I289,M289)</f>
        <v>269649</v>
      </c>
      <c r="F289" s="52">
        <f t="shared" si="7"/>
        <v>3269</v>
      </c>
      <c r="G289" s="52">
        <f>SUM(G17,G29,G41,G49,G57,G73,G93,G109,G117,G125,G157,G177,G209,G233,G269,G281)</f>
        <v>42000</v>
      </c>
      <c r="H289" s="52"/>
      <c r="I289" s="52">
        <f>SUM(J289:L289)</f>
        <v>227649</v>
      </c>
      <c r="J289" s="52">
        <f>SUM(J17,J29,J41,J49,J57,J73,J93,J109,J117,J125,J157,J177,J209,J233,J269,J281)</f>
        <v>12882</v>
      </c>
      <c r="K289" s="52">
        <f>K281+K269+K233+K209+K177+K157+K125+K117+K109+K93+K73+K57+K49+K41+K29+K17</f>
        <v>214767</v>
      </c>
      <c r="L289" s="52"/>
      <c r="M289" s="52">
        <f>SUM(M17,M29,M41,M49,M57,M73,M93,M109,M117,M125,M157,M177,M209,M233,M269,M281)</f>
        <v>42000</v>
      </c>
      <c r="N289" s="54"/>
    </row>
    <row r="290" spans="1:14" ht="20.25" customHeight="1">
      <c r="A290" s="324"/>
      <c r="B290" s="325"/>
      <c r="C290" s="326"/>
      <c r="D290" s="59" t="s">
        <v>129</v>
      </c>
      <c r="E290" s="52">
        <f>SUM(I290,M290)</f>
        <v>183937</v>
      </c>
      <c r="F290" s="52">
        <f t="shared" si="7"/>
        <v>269</v>
      </c>
      <c r="G290" s="52"/>
      <c r="H290" s="52">
        <f t="shared" si="7"/>
        <v>6000</v>
      </c>
      <c r="I290" s="52">
        <f>SUM(J290:L290)</f>
        <v>183937</v>
      </c>
      <c r="J290" s="52">
        <f>SUM(J18,J30,J42,J50,J58,J74,J94,J110,J118,J126,J158,J178,J210,J234,J270,J282)</f>
        <v>34872</v>
      </c>
      <c r="K290" s="52">
        <f>K282+K270+K234+K210+K178+K158+K126+K118+K110+K94+K74+K58+K50+K42+K30+K18</f>
        <v>149065</v>
      </c>
      <c r="L290" s="52"/>
      <c r="M290" s="52"/>
      <c r="N290" s="54"/>
    </row>
    <row r="291" spans="1:14" ht="20.25" customHeight="1">
      <c r="A291" s="327"/>
      <c r="B291" s="328"/>
      <c r="C291" s="313"/>
      <c r="D291" s="102" t="s">
        <v>131</v>
      </c>
      <c r="E291" s="52">
        <f>SUM(I291,M291)</f>
        <v>34565863</v>
      </c>
      <c r="F291" s="52">
        <f t="shared" si="7"/>
        <v>3931793</v>
      </c>
      <c r="G291" s="52">
        <f t="shared" si="7"/>
        <v>112000</v>
      </c>
      <c r="H291" s="52">
        <f t="shared" si="7"/>
        <v>7000</v>
      </c>
      <c r="I291" s="52">
        <f>SUM(J291:L291)</f>
        <v>32209863</v>
      </c>
      <c r="J291" s="52">
        <f>SUM(J19,J31,J43,J51,J59,J75,J95,J111,J119,J127,J159,J179,J211,J235,J271,J283)</f>
        <v>21336375</v>
      </c>
      <c r="K291" s="52">
        <f>SUM(K19,K31,K43,K51,K59,K75,K95,K111,K119,K127,K159,K179,K211,K235,K271,K283)</f>
        <v>10082594</v>
      </c>
      <c r="L291" s="52">
        <f>SUM(L19,L31,L43,L51,L59,L75,L95,L111,L119,L127,L159,L179,L211,L235,L271,L283)</f>
        <v>790894</v>
      </c>
      <c r="M291" s="52">
        <f>SUM(M19,M31,M43,M51,M59,M75,M95,M111,M119,M127,M159,M179,M211,M235,M271,M283)</f>
        <v>2356000</v>
      </c>
      <c r="N291" s="54"/>
    </row>
    <row r="292" spans="1:14" ht="24.75" customHeight="1" hidden="1">
      <c r="A292" s="103"/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54"/>
    </row>
    <row r="293" spans="1:14" ht="12.75" hidden="1">
      <c r="A293" s="103"/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54"/>
    </row>
    <row r="294" spans="1:14" ht="12.75" hidden="1">
      <c r="A294" s="103"/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54"/>
    </row>
    <row r="295" spans="1:14" ht="12.75" hidden="1">
      <c r="A295" s="103"/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54"/>
    </row>
    <row r="296" spans="1:14" ht="12.75" hidden="1">
      <c r="A296" s="103"/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54"/>
    </row>
    <row r="297" spans="1:14" ht="12.75" hidden="1">
      <c r="A297" s="103"/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54"/>
    </row>
    <row r="298" ht="12.75" hidden="1"/>
    <row r="299" ht="12.75" hidden="1"/>
    <row r="300" ht="12.75" hidden="1"/>
    <row r="301" ht="12.75" hidden="1"/>
    <row r="302" ht="12.75" hidden="1"/>
    <row r="303" ht="12.75">
      <c r="E303" s="192"/>
    </row>
    <row r="304" ht="12.75">
      <c r="E304" s="192"/>
    </row>
    <row r="305" ht="12.75">
      <c r="E305" s="192"/>
    </row>
  </sheetData>
  <mergeCells count="58">
    <mergeCell ref="K2:M2"/>
    <mergeCell ref="K3:M3"/>
    <mergeCell ref="K4:M4"/>
    <mergeCell ref="A6:M6"/>
    <mergeCell ref="A8:A15"/>
    <mergeCell ref="B8:B15"/>
    <mergeCell ref="C8:D10"/>
    <mergeCell ref="E8:E15"/>
    <mergeCell ref="C11:D11"/>
    <mergeCell ref="C12:D12"/>
    <mergeCell ref="C13:D13"/>
    <mergeCell ref="C14:D14"/>
    <mergeCell ref="C15:D15"/>
    <mergeCell ref="M8:M15"/>
    <mergeCell ref="F9:F15"/>
    <mergeCell ref="G9:G15"/>
    <mergeCell ref="H9:H15"/>
    <mergeCell ref="I9:I15"/>
    <mergeCell ref="J10:J15"/>
    <mergeCell ref="K10:K15"/>
    <mergeCell ref="L10:L15"/>
    <mergeCell ref="C20:C23"/>
    <mergeCell ref="C36:C39"/>
    <mergeCell ref="C48:C49"/>
    <mergeCell ref="C52:C53"/>
    <mergeCell ref="C60:C61"/>
    <mergeCell ref="C64:C65"/>
    <mergeCell ref="C92:C93"/>
    <mergeCell ref="C96:C97"/>
    <mergeCell ref="C100:C101"/>
    <mergeCell ref="C112:C114"/>
    <mergeCell ref="C144:C145"/>
    <mergeCell ref="C148:C149"/>
    <mergeCell ref="C160:C163"/>
    <mergeCell ref="C164:C167"/>
    <mergeCell ref="C168:C171"/>
    <mergeCell ref="C172:C175"/>
    <mergeCell ref="C180:C181"/>
    <mergeCell ref="C188:C189"/>
    <mergeCell ref="C192:C193"/>
    <mergeCell ref="C196:C197"/>
    <mergeCell ref="C200:C201"/>
    <mergeCell ref="C204:C205"/>
    <mergeCell ref="C208:C209"/>
    <mergeCell ref="C212:C213"/>
    <mergeCell ref="C216:C217"/>
    <mergeCell ref="C224:C225"/>
    <mergeCell ref="C232:C233"/>
    <mergeCell ref="C236:C237"/>
    <mergeCell ref="C240:C241"/>
    <mergeCell ref="C244:C245"/>
    <mergeCell ref="C252:C253"/>
    <mergeCell ref="C256:C257"/>
    <mergeCell ref="A288:C291"/>
    <mergeCell ref="C260:C261"/>
    <mergeCell ref="C264:C265"/>
    <mergeCell ref="C268:C269"/>
    <mergeCell ref="C272:C273"/>
  </mergeCells>
  <printOptions/>
  <pageMargins left="0.7874015748031497" right="0.7874015748031497" top="0.5905511811023623" bottom="0.5905511811023623" header="0.11811023622047245" footer="0.5118110236220472"/>
  <pageSetup horizontalDpi="600" verticalDpi="600" orientation="landscape" paperSize="9" scale="86" r:id="rId1"/>
  <headerFooter alignWithMargins="0">
    <oddFooter>&amp;CStrona &amp;P z &amp;N</oddFooter>
  </headerFooter>
  <rowBreaks count="9" manualBreakCount="9">
    <brk id="59" max="12" man="1"/>
    <brk id="83" max="12" man="1"/>
    <brk id="107" max="12" man="1"/>
    <brk id="131" max="12" man="1"/>
    <brk id="155" max="12" man="1"/>
    <brk id="183" max="12" man="1"/>
    <brk id="211" max="12" man="1"/>
    <brk id="239" max="12" man="1"/>
    <brk id="271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0" sqref="B10"/>
    </sheetView>
  </sheetViews>
  <sheetFormatPr defaultColWidth="9.140625" defaultRowHeight="12.75"/>
  <cols>
    <col min="1" max="1" width="5.28125" style="1" customWidth="1"/>
    <col min="2" max="2" width="7.7109375" style="2" customWidth="1"/>
    <col min="3" max="3" width="5.7109375" style="2" customWidth="1"/>
    <col min="4" max="4" width="36.140625" style="4" customWidth="1"/>
    <col min="5" max="5" width="10.421875" style="6" customWidth="1"/>
    <col min="6" max="8" width="10.421875" style="0" customWidth="1"/>
  </cols>
  <sheetData>
    <row r="1" spans="1:8" s="26" customFormat="1" ht="12.75">
      <c r="A1" s="35"/>
      <c r="B1" s="35"/>
      <c r="C1" s="36"/>
      <c r="D1" s="36"/>
      <c r="E1" s="36"/>
      <c r="F1" s="37" t="s">
        <v>268</v>
      </c>
      <c r="G1" s="38"/>
      <c r="H1" s="38"/>
    </row>
    <row r="2" spans="1:8" s="26" customFormat="1" ht="12.75">
      <c r="A2" s="35"/>
      <c r="B2" s="35"/>
      <c r="C2" s="39"/>
      <c r="D2" s="36"/>
      <c r="E2" s="36"/>
      <c r="F2" s="320" t="s">
        <v>228</v>
      </c>
      <c r="G2" s="320"/>
      <c r="H2" s="320"/>
    </row>
    <row r="3" spans="1:8" s="26" customFormat="1" ht="12.75">
      <c r="A3" s="35"/>
      <c r="B3" s="35"/>
      <c r="C3" s="39"/>
      <c r="D3" s="36"/>
      <c r="E3" s="36"/>
      <c r="F3" s="320" t="s">
        <v>229</v>
      </c>
      <c r="G3" s="320"/>
      <c r="H3" s="320"/>
    </row>
    <row r="4" spans="1:8" s="26" customFormat="1" ht="12.75">
      <c r="A4" s="35"/>
      <c r="B4" s="35"/>
      <c r="C4" s="39"/>
      <c r="D4" s="36"/>
      <c r="E4" s="36"/>
      <c r="F4" s="320" t="s">
        <v>230</v>
      </c>
      <c r="G4" s="320"/>
      <c r="H4" s="320"/>
    </row>
    <row r="5" spans="5:6" ht="12.75">
      <c r="E5" s="5"/>
      <c r="F5" s="5"/>
    </row>
    <row r="7" spans="1:8" ht="30.75" customHeight="1">
      <c r="A7" s="380" t="s">
        <v>259</v>
      </c>
      <c r="B7" s="380"/>
      <c r="C7" s="380"/>
      <c r="D7" s="380"/>
      <c r="E7" s="380"/>
      <c r="F7" s="380"/>
      <c r="G7" s="380"/>
      <c r="H7" s="380"/>
    </row>
    <row r="8" spans="1:4" ht="12.75">
      <c r="A8" s="230"/>
      <c r="C8" s="379"/>
      <c r="D8" s="379"/>
    </row>
    <row r="9" spans="1:8" s="272" customFormat="1" ht="25.5">
      <c r="A9" s="270" t="s">
        <v>1</v>
      </c>
      <c r="B9" s="270" t="s">
        <v>109</v>
      </c>
      <c r="C9" s="270" t="s">
        <v>3</v>
      </c>
      <c r="D9" s="270" t="s">
        <v>4</v>
      </c>
      <c r="E9" s="271" t="s">
        <v>267</v>
      </c>
      <c r="F9" s="271" t="s">
        <v>265</v>
      </c>
      <c r="G9" s="271" t="s">
        <v>266</v>
      </c>
      <c r="H9" s="271" t="s">
        <v>104</v>
      </c>
    </row>
    <row r="10" spans="1:8" ht="12.75">
      <c r="A10" s="245" t="s">
        <v>5</v>
      </c>
      <c r="B10" s="246"/>
      <c r="C10" s="246"/>
      <c r="D10" s="247" t="s">
        <v>6</v>
      </c>
      <c r="E10" s="248">
        <f>SUM(E11)</f>
        <v>9000</v>
      </c>
      <c r="F10" s="248"/>
      <c r="G10" s="248">
        <f>SUM(G11)</f>
        <v>2000</v>
      </c>
      <c r="H10" s="248">
        <f>E10+F10-G10</f>
        <v>7000</v>
      </c>
    </row>
    <row r="11" spans="1:8" ht="24.75" customHeight="1">
      <c r="A11" s="231"/>
      <c r="B11" s="232" t="s">
        <v>260</v>
      </c>
      <c r="C11" s="233"/>
      <c r="D11" s="234" t="s">
        <v>261</v>
      </c>
      <c r="E11" s="235">
        <f>SUM(E12)</f>
        <v>9000</v>
      </c>
      <c r="F11" s="235"/>
      <c r="G11" s="235">
        <f>SUM(G12)</f>
        <v>2000</v>
      </c>
      <c r="H11" s="250">
        <f aca="true" t="shared" si="0" ref="H11:H19">E11+F11-G11</f>
        <v>7000</v>
      </c>
    </row>
    <row r="12" spans="1:8" ht="24.75" customHeight="1">
      <c r="A12" s="236"/>
      <c r="B12" s="237"/>
      <c r="C12" s="238" t="s">
        <v>19</v>
      </c>
      <c r="D12" s="239" t="s">
        <v>20</v>
      </c>
      <c r="E12" s="240">
        <v>9000</v>
      </c>
      <c r="F12" s="240"/>
      <c r="G12" s="240">
        <v>2000</v>
      </c>
      <c r="H12" s="250">
        <f t="shared" si="0"/>
        <v>7000</v>
      </c>
    </row>
    <row r="13" spans="1:8" ht="24.75" customHeight="1">
      <c r="A13" s="246">
        <v>700</v>
      </c>
      <c r="B13" s="246"/>
      <c r="C13" s="246"/>
      <c r="D13" s="247" t="s">
        <v>28</v>
      </c>
      <c r="E13" s="248">
        <f>E14</f>
        <v>390000</v>
      </c>
      <c r="F13" s="248"/>
      <c r="G13" s="248"/>
      <c r="H13" s="248">
        <f t="shared" si="0"/>
        <v>390000</v>
      </c>
    </row>
    <row r="14" spans="1:8" ht="24.75" customHeight="1">
      <c r="A14" s="109"/>
      <c r="B14" s="241">
        <v>70005</v>
      </c>
      <c r="C14" s="242"/>
      <c r="D14" s="234" t="s">
        <v>29</v>
      </c>
      <c r="E14" s="235">
        <f>SUM(E15)</f>
        <v>390000</v>
      </c>
      <c r="F14" s="235"/>
      <c r="G14" s="235"/>
      <c r="H14" s="250">
        <f t="shared" si="0"/>
        <v>390000</v>
      </c>
    </row>
    <row r="15" spans="1:8" ht="24.75" customHeight="1">
      <c r="A15" s="243"/>
      <c r="B15" s="237"/>
      <c r="C15" s="244" t="s">
        <v>50</v>
      </c>
      <c r="D15" s="239" t="s">
        <v>262</v>
      </c>
      <c r="E15" s="240">
        <v>390000</v>
      </c>
      <c r="F15" s="240"/>
      <c r="G15" s="240"/>
      <c r="H15" s="250">
        <f t="shared" si="0"/>
        <v>390000</v>
      </c>
    </row>
    <row r="16" spans="1:8" ht="24.75" customHeight="1">
      <c r="A16" s="249">
        <v>754</v>
      </c>
      <c r="B16" s="249"/>
      <c r="C16" s="246"/>
      <c r="D16" s="247" t="s">
        <v>58</v>
      </c>
      <c r="E16" s="248">
        <f>E17</f>
        <v>200</v>
      </c>
      <c r="F16" s="248"/>
      <c r="G16" s="248"/>
      <c r="H16" s="248">
        <f t="shared" si="0"/>
        <v>200</v>
      </c>
    </row>
    <row r="17" spans="1:8" ht="24.75" customHeight="1">
      <c r="A17" s="231"/>
      <c r="B17" s="241">
        <v>75411</v>
      </c>
      <c r="C17" s="233"/>
      <c r="D17" s="234" t="s">
        <v>263</v>
      </c>
      <c r="E17" s="235">
        <f>SUM(E18)</f>
        <v>200</v>
      </c>
      <c r="F17" s="235"/>
      <c r="G17" s="235"/>
      <c r="H17" s="250">
        <f t="shared" si="0"/>
        <v>200</v>
      </c>
    </row>
    <row r="18" spans="1:8" ht="24.75" customHeight="1">
      <c r="A18" s="236"/>
      <c r="B18" s="237"/>
      <c r="C18" s="238" t="s">
        <v>19</v>
      </c>
      <c r="D18" s="239" t="s">
        <v>264</v>
      </c>
      <c r="E18" s="240">
        <v>200</v>
      </c>
      <c r="F18" s="240"/>
      <c r="G18" s="240"/>
      <c r="H18" s="250">
        <f t="shared" si="0"/>
        <v>200</v>
      </c>
    </row>
    <row r="19" spans="1:8" ht="24.75" customHeight="1">
      <c r="A19" s="376" t="s">
        <v>52</v>
      </c>
      <c r="B19" s="377"/>
      <c r="C19" s="377"/>
      <c r="D19" s="378"/>
      <c r="E19" s="248">
        <f>SUM(E10,E13,E16)</f>
        <v>399200</v>
      </c>
      <c r="F19" s="248">
        <f>SUM(F10,F13,F16)</f>
        <v>0</v>
      </c>
      <c r="G19" s="248">
        <f>SUM(G10,G13,G16)</f>
        <v>2000</v>
      </c>
      <c r="H19" s="248">
        <f t="shared" si="0"/>
        <v>397200</v>
      </c>
    </row>
    <row r="20" spans="1:5" ht="12.75">
      <c r="A20" s="27"/>
      <c r="B20" s="28"/>
      <c r="C20" s="28"/>
      <c r="D20" s="29"/>
      <c r="E20" s="30"/>
    </row>
    <row r="21" spans="1:5" ht="12.75">
      <c r="A21" s="27"/>
      <c r="B21" s="28"/>
      <c r="C21" s="28"/>
      <c r="D21" s="29"/>
      <c r="E21" s="30"/>
    </row>
    <row r="22" spans="1:5" ht="12.75">
      <c r="A22" s="27"/>
      <c r="B22" s="28"/>
      <c r="C22" s="28"/>
      <c r="D22" s="29"/>
      <c r="E22" s="30"/>
    </row>
    <row r="23" spans="1:5" ht="12.75">
      <c r="A23" s="27"/>
      <c r="B23" s="28"/>
      <c r="C23" s="28"/>
      <c r="D23" s="29"/>
      <c r="E23" s="30"/>
    </row>
    <row r="24" spans="1:5" ht="12.75">
      <c r="A24" s="27"/>
      <c r="B24" s="28"/>
      <c r="C24" s="28"/>
      <c r="D24" s="29"/>
      <c r="E24" s="30"/>
    </row>
    <row r="25" spans="1:5" ht="12.75">
      <c r="A25" s="27"/>
      <c r="B25" s="28"/>
      <c r="C25" s="28"/>
      <c r="D25" s="29"/>
      <c r="E25" s="30"/>
    </row>
  </sheetData>
  <mergeCells count="6">
    <mergeCell ref="A19:D19"/>
    <mergeCell ref="C8:D8"/>
    <mergeCell ref="F2:H2"/>
    <mergeCell ref="F3:H3"/>
    <mergeCell ref="F4:H4"/>
    <mergeCell ref="A7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B1">
      <selection activeCell="B1" sqref="A1:IV4"/>
    </sheetView>
  </sheetViews>
  <sheetFormatPr defaultColWidth="9.140625" defaultRowHeight="12.75"/>
  <cols>
    <col min="1" max="1" width="9.7109375" style="215" hidden="1" customWidth="1"/>
    <col min="2" max="2" width="3.00390625" style="215" customWidth="1"/>
    <col min="3" max="3" width="47.140625" style="4" customWidth="1"/>
    <col min="4" max="4" width="0.42578125" style="0" hidden="1" customWidth="1"/>
    <col min="5" max="6" width="9.140625" style="0" hidden="1" customWidth="1"/>
    <col min="7" max="10" width="11.00390625" style="0" customWidth="1"/>
  </cols>
  <sheetData>
    <row r="1" spans="3:10" ht="15.75">
      <c r="C1" s="381"/>
      <c r="D1" s="381"/>
      <c r="E1" s="381"/>
      <c r="I1" s="194" t="s">
        <v>291</v>
      </c>
      <c r="J1" s="195"/>
    </row>
    <row r="2" spans="3:10" ht="15.75">
      <c r="C2" s="381"/>
      <c r="D2" s="381"/>
      <c r="E2" s="381"/>
      <c r="I2" s="269" t="s">
        <v>228</v>
      </c>
      <c r="J2" s="269"/>
    </row>
    <row r="3" spans="3:10" ht="15.75">
      <c r="C3" s="381"/>
      <c r="D3" s="381"/>
      <c r="E3" s="381"/>
      <c r="I3" s="269" t="s">
        <v>229</v>
      </c>
      <c r="J3" s="269"/>
    </row>
    <row r="4" spans="3:10" ht="15.75">
      <c r="C4" s="381"/>
      <c r="D4" s="381"/>
      <c r="E4" s="381"/>
      <c r="I4" s="269" t="s">
        <v>230</v>
      </c>
      <c r="J4" s="269"/>
    </row>
    <row r="5" ht="12.75">
      <c r="C5"/>
    </row>
    <row r="6" ht="12.75">
      <c r="C6"/>
    </row>
    <row r="7" spans="1:10" ht="18">
      <c r="A7" s="382" t="s">
        <v>283</v>
      </c>
      <c r="B7" s="382"/>
      <c r="C7" s="382"/>
      <c r="D7" s="382"/>
      <c r="E7" s="382"/>
      <c r="F7" s="382"/>
      <c r="G7" s="382"/>
      <c r="H7" s="382"/>
      <c r="I7" s="382"/>
      <c r="J7" s="382"/>
    </row>
    <row r="10" spans="1:10" s="220" customFormat="1" ht="25.5">
      <c r="A10" s="217"/>
      <c r="B10" s="217" t="s">
        <v>233</v>
      </c>
      <c r="C10" s="216" t="s">
        <v>284</v>
      </c>
      <c r="D10" s="218"/>
      <c r="E10" s="218"/>
      <c r="F10" s="218"/>
      <c r="G10" s="219" t="s">
        <v>235</v>
      </c>
      <c r="H10" s="219" t="s">
        <v>236</v>
      </c>
      <c r="I10" s="219" t="s">
        <v>237</v>
      </c>
      <c r="J10" s="219" t="s">
        <v>238</v>
      </c>
    </row>
    <row r="11" spans="1:10" ht="25.5">
      <c r="A11" s="221"/>
      <c r="B11" s="221">
        <v>1</v>
      </c>
      <c r="C11" s="222" t="s">
        <v>285</v>
      </c>
      <c r="D11" s="223"/>
      <c r="E11" s="223"/>
      <c r="F11" s="223"/>
      <c r="G11" s="206">
        <v>30000</v>
      </c>
      <c r="H11" s="206"/>
      <c r="I11" s="206"/>
      <c r="J11" s="206">
        <f>G11+H11-I11</f>
        <v>30000</v>
      </c>
    </row>
    <row r="12" spans="1:10" ht="27.75" customHeight="1">
      <c r="A12" s="205"/>
      <c r="B12" s="205">
        <v>2</v>
      </c>
      <c r="C12" s="207" t="s">
        <v>286</v>
      </c>
      <c r="D12" s="224"/>
      <c r="E12" s="224"/>
      <c r="F12" s="224"/>
      <c r="G12" s="205">
        <v>184280</v>
      </c>
      <c r="H12" s="205">
        <v>108417</v>
      </c>
      <c r="I12" s="205"/>
      <c r="J12" s="206">
        <f>G12+H12-I12</f>
        <v>292697</v>
      </c>
    </row>
    <row r="13" spans="1:10" ht="25.5">
      <c r="A13" s="205"/>
      <c r="B13" s="205">
        <v>3</v>
      </c>
      <c r="C13" s="207" t="s">
        <v>287</v>
      </c>
      <c r="D13" s="224"/>
      <c r="E13" s="224"/>
      <c r="F13" s="224"/>
      <c r="G13" s="205">
        <v>15000</v>
      </c>
      <c r="H13" s="205"/>
      <c r="I13" s="205"/>
      <c r="J13" s="206">
        <f>G13+H13-I13</f>
        <v>15000</v>
      </c>
    </row>
    <row r="14" spans="1:10" ht="25.5">
      <c r="A14" s="205"/>
      <c r="B14" s="205">
        <v>4</v>
      </c>
      <c r="C14" s="207" t="s">
        <v>288</v>
      </c>
      <c r="D14" s="224"/>
      <c r="E14" s="224"/>
      <c r="F14" s="224"/>
      <c r="G14" s="205">
        <v>250000</v>
      </c>
      <c r="H14" s="205"/>
      <c r="I14" s="205"/>
      <c r="J14" s="206">
        <f>G14+H14-I14</f>
        <v>250000</v>
      </c>
    </row>
    <row r="15" spans="1:10" ht="38.25">
      <c r="A15" s="205"/>
      <c r="B15" s="205">
        <v>5</v>
      </c>
      <c r="C15" s="207" t="s">
        <v>289</v>
      </c>
      <c r="D15" s="224"/>
      <c r="E15" s="224"/>
      <c r="F15" s="224"/>
      <c r="G15" s="205">
        <v>244903</v>
      </c>
      <c r="H15" s="205"/>
      <c r="I15" s="205">
        <f>19444*3</f>
        <v>58332</v>
      </c>
      <c r="J15" s="206">
        <f>G15+H15-I15</f>
        <v>186571</v>
      </c>
    </row>
    <row r="16" spans="1:10" ht="12.75">
      <c r="A16" s="225">
        <f>SUM(A12:A15)</f>
        <v>0</v>
      </c>
      <c r="B16" s="225"/>
      <c r="C16" s="226" t="s">
        <v>258</v>
      </c>
      <c r="D16" s="227"/>
      <c r="E16" s="227"/>
      <c r="F16" s="227"/>
      <c r="G16" s="228">
        <f>SUM(G11:G15)</f>
        <v>724183</v>
      </c>
      <c r="H16" s="228">
        <f>SUM(H11:H15)</f>
        <v>108417</v>
      </c>
      <c r="I16" s="228">
        <f>SUM(I11:I15)</f>
        <v>58332</v>
      </c>
      <c r="J16" s="228">
        <f>SUM(J11:J15)</f>
        <v>774268</v>
      </c>
    </row>
    <row r="17" spans="1:2" ht="12.75">
      <c r="A17" s="229"/>
      <c r="B17" s="229"/>
    </row>
    <row r="18" spans="1:2" ht="12.75">
      <c r="A18" s="229"/>
      <c r="B18" s="229"/>
    </row>
    <row r="19" spans="1:2" ht="12.75">
      <c r="A19" s="229"/>
      <c r="B19" s="229"/>
    </row>
    <row r="20" spans="1:2" ht="12.75">
      <c r="A20" s="229"/>
      <c r="B20" s="229"/>
    </row>
    <row r="21" spans="1:2" ht="12.75">
      <c r="A21" s="229"/>
      <c r="B21" s="229"/>
    </row>
    <row r="22" spans="1:2" ht="12.75">
      <c r="A22" s="229"/>
      <c r="B22" s="229"/>
    </row>
    <row r="23" spans="1:2" ht="12.75">
      <c r="A23" s="229"/>
      <c r="B23" s="229"/>
    </row>
    <row r="24" spans="1:2" ht="12.75">
      <c r="A24" s="229"/>
      <c r="B24" s="229"/>
    </row>
  </sheetData>
  <mergeCells count="5">
    <mergeCell ref="C4:E4"/>
    <mergeCell ref="A7:J7"/>
    <mergeCell ref="C1:E1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6">
      <selection activeCell="E15" sqref="E15"/>
    </sheetView>
  </sheetViews>
  <sheetFormatPr defaultColWidth="9.140625" defaultRowHeight="12.75"/>
  <cols>
    <col min="1" max="1" width="6.00390625" style="253" customWidth="1"/>
    <col min="2" max="2" width="7.7109375" style="253" customWidth="1"/>
    <col min="3" max="3" width="6.00390625" style="253" customWidth="1"/>
    <col min="4" max="4" width="47.140625" style="253" customWidth="1"/>
    <col min="5" max="6" width="12.28125" style="253" customWidth="1"/>
    <col min="7" max="16384" width="9.140625" style="253" customWidth="1"/>
  </cols>
  <sheetData>
    <row r="1" spans="4:6" ht="15.75">
      <c r="D1" s="253"/>
      <c r="E1" s="194" t="s">
        <v>297</v>
      </c>
      <c r="F1" s="253"/>
    </row>
    <row r="2" spans="4:6" ht="15.75">
      <c r="D2" s="253"/>
      <c r="E2" s="269" t="s">
        <v>228</v>
      </c>
      <c r="F2" s="253"/>
    </row>
    <row r="3" spans="4:6" ht="15.75">
      <c r="D3" s="253"/>
      <c r="E3" s="269" t="s">
        <v>229</v>
      </c>
      <c r="F3" s="253"/>
    </row>
    <row r="4" spans="4:6" ht="15.75">
      <c r="D4" s="253"/>
      <c r="E4" s="269" t="s">
        <v>230</v>
      </c>
      <c r="F4" s="253"/>
    </row>
    <row r="5" ht="15.75">
      <c r="E5" s="269"/>
    </row>
    <row r="6" spans="1:6" ht="33.75" customHeight="1">
      <c r="A6" s="403" t="s">
        <v>292</v>
      </c>
      <c r="B6" s="403"/>
      <c r="C6" s="403"/>
      <c r="D6" s="403"/>
      <c r="E6" s="403"/>
      <c r="F6" s="403"/>
    </row>
    <row r="7" spans="1:6" ht="14.25" customHeight="1">
      <c r="A7" s="394"/>
      <c r="B7" s="394"/>
      <c r="C7" s="394"/>
      <c r="D7" s="394"/>
      <c r="E7" s="394"/>
      <c r="F7" s="394"/>
    </row>
    <row r="8" spans="1:6" ht="14.25" customHeight="1">
      <c r="A8" s="396" t="s">
        <v>271</v>
      </c>
      <c r="B8" s="397"/>
      <c r="C8" s="398"/>
      <c r="D8" s="399" t="s">
        <v>4</v>
      </c>
      <c r="E8" s="399" t="s">
        <v>122</v>
      </c>
      <c r="F8" s="399" t="s">
        <v>244</v>
      </c>
    </row>
    <row r="9" spans="1:6" s="254" customFormat="1" ht="31.5" customHeight="1">
      <c r="A9" s="285" t="s">
        <v>1</v>
      </c>
      <c r="B9" s="285" t="s">
        <v>109</v>
      </c>
      <c r="C9" s="286" t="s">
        <v>3</v>
      </c>
      <c r="D9" s="399"/>
      <c r="E9" s="399"/>
      <c r="F9" s="399"/>
    </row>
    <row r="10" spans="1:6" s="252" customFormat="1" ht="15.75">
      <c r="A10" s="287">
        <v>1</v>
      </c>
      <c r="B10" s="287">
        <v>2</v>
      </c>
      <c r="C10" s="287">
        <v>3</v>
      </c>
      <c r="D10" s="287">
        <v>4</v>
      </c>
      <c r="E10" s="287">
        <v>5</v>
      </c>
      <c r="F10" s="287">
        <v>6</v>
      </c>
    </row>
    <row r="11" spans="1:6" ht="63" customHeight="1">
      <c r="A11" s="281" t="s">
        <v>5</v>
      </c>
      <c r="B11" s="281" t="s">
        <v>7</v>
      </c>
      <c r="C11" s="281" t="s">
        <v>293</v>
      </c>
      <c r="D11" s="282" t="s">
        <v>294</v>
      </c>
      <c r="E11" s="263">
        <v>23000</v>
      </c>
      <c r="F11" s="263">
        <v>23000</v>
      </c>
    </row>
    <row r="12" spans="1:6" ht="63" customHeight="1">
      <c r="A12" s="281" t="s">
        <v>138</v>
      </c>
      <c r="B12" s="281" t="s">
        <v>139</v>
      </c>
      <c r="C12" s="281" t="s">
        <v>293</v>
      </c>
      <c r="D12" s="282" t="s">
        <v>294</v>
      </c>
      <c r="E12" s="263">
        <v>15000</v>
      </c>
      <c r="F12" s="263">
        <v>15000</v>
      </c>
    </row>
    <row r="13" spans="1:6" ht="63" customHeight="1">
      <c r="A13" s="281" t="s">
        <v>140</v>
      </c>
      <c r="B13" s="281" t="s">
        <v>141</v>
      </c>
      <c r="C13" s="281" t="s">
        <v>293</v>
      </c>
      <c r="D13" s="282" t="s">
        <v>294</v>
      </c>
      <c r="E13" s="263">
        <v>172000</v>
      </c>
      <c r="F13" s="263">
        <v>172000</v>
      </c>
    </row>
    <row r="14" spans="1:6" ht="63" customHeight="1">
      <c r="A14" s="281" t="s">
        <v>140</v>
      </c>
      <c r="B14" s="281" t="s">
        <v>143</v>
      </c>
      <c r="C14" s="281" t="s">
        <v>293</v>
      </c>
      <c r="D14" s="282" t="s">
        <v>294</v>
      </c>
      <c r="E14" s="263">
        <v>2000</v>
      </c>
      <c r="F14" s="263">
        <v>2000</v>
      </c>
    </row>
    <row r="15" spans="1:6" ht="63" customHeight="1">
      <c r="A15" s="281" t="s">
        <v>140</v>
      </c>
      <c r="B15" s="281" t="s">
        <v>144</v>
      </c>
      <c r="C15" s="281" t="s">
        <v>293</v>
      </c>
      <c r="D15" s="282" t="s">
        <v>294</v>
      </c>
      <c r="E15" s="263">
        <v>214000</v>
      </c>
      <c r="F15" s="263">
        <v>214000</v>
      </c>
    </row>
    <row r="16" spans="1:6" ht="63" customHeight="1">
      <c r="A16" s="281" t="s">
        <v>145</v>
      </c>
      <c r="B16" s="281" t="s">
        <v>146</v>
      </c>
      <c r="C16" s="281" t="s">
        <v>293</v>
      </c>
      <c r="D16" s="282" t="s">
        <v>294</v>
      </c>
      <c r="E16" s="263">
        <v>148800</v>
      </c>
      <c r="F16" s="263">
        <v>148800</v>
      </c>
    </row>
    <row r="17" spans="1:6" ht="63" customHeight="1">
      <c r="A17" s="281" t="s">
        <v>145</v>
      </c>
      <c r="B17" s="281" t="s">
        <v>150</v>
      </c>
      <c r="C17" s="281" t="s">
        <v>293</v>
      </c>
      <c r="D17" s="282" t="s">
        <v>294</v>
      </c>
      <c r="E17" s="263">
        <v>22000</v>
      </c>
      <c r="F17" s="263">
        <v>22000</v>
      </c>
    </row>
    <row r="18" spans="1:6" ht="63" customHeight="1">
      <c r="A18" s="281" t="s">
        <v>151</v>
      </c>
      <c r="B18" s="281" t="s">
        <v>152</v>
      </c>
      <c r="C18" s="281" t="s">
        <v>293</v>
      </c>
      <c r="D18" s="282" t="s">
        <v>294</v>
      </c>
      <c r="E18" s="263">
        <v>2148633</v>
      </c>
      <c r="F18" s="263">
        <v>2148633</v>
      </c>
    </row>
    <row r="19" spans="1:6" ht="63" customHeight="1">
      <c r="A19" s="281" t="s">
        <v>174</v>
      </c>
      <c r="B19" s="281" t="s">
        <v>177</v>
      </c>
      <c r="C19" s="281" t="s">
        <v>293</v>
      </c>
      <c r="D19" s="282" t="s">
        <v>294</v>
      </c>
      <c r="E19" s="263">
        <v>1094760</v>
      </c>
      <c r="F19" s="263">
        <v>1094760</v>
      </c>
    </row>
    <row r="20" spans="1:6" ht="63" customHeight="1">
      <c r="A20" s="281" t="s">
        <v>193</v>
      </c>
      <c r="B20" s="281" t="s">
        <v>197</v>
      </c>
      <c r="C20" s="281" t="s">
        <v>293</v>
      </c>
      <c r="D20" s="282" t="s">
        <v>294</v>
      </c>
      <c r="E20" s="263">
        <v>91600</v>
      </c>
      <c r="F20" s="263">
        <v>91600</v>
      </c>
    </row>
    <row r="21" spans="1:6" ht="33" customHeight="1">
      <c r="A21" s="400" t="s">
        <v>258</v>
      </c>
      <c r="B21" s="401"/>
      <c r="C21" s="401"/>
      <c r="D21" s="402"/>
      <c r="E21" s="288">
        <f>SUM(E11:E20)</f>
        <v>3931793</v>
      </c>
      <c r="F21" s="288">
        <f>SUM(F11:F20)</f>
        <v>3931793</v>
      </c>
    </row>
    <row r="22" spans="1:6" ht="25.5" customHeight="1">
      <c r="A22" s="383"/>
      <c r="B22" s="383"/>
      <c r="C22" s="383"/>
      <c r="D22" s="383"/>
      <c r="E22" s="383"/>
      <c r="F22" s="383"/>
    </row>
    <row r="23" spans="1:6" ht="33.75" customHeight="1">
      <c r="A23" s="403" t="s">
        <v>301</v>
      </c>
      <c r="B23" s="403"/>
      <c r="C23" s="403"/>
      <c r="D23" s="403"/>
      <c r="E23" s="403"/>
      <c r="F23" s="403"/>
    </row>
    <row r="24" spans="1:6" ht="14.25" customHeight="1">
      <c r="A24" s="394"/>
      <c r="B24" s="394"/>
      <c r="C24" s="394"/>
      <c r="D24" s="394"/>
      <c r="E24" s="394"/>
      <c r="F24" s="394"/>
    </row>
    <row r="25" spans="1:6" ht="14.25" customHeight="1">
      <c r="A25" s="396" t="s">
        <v>271</v>
      </c>
      <c r="B25" s="397"/>
      <c r="C25" s="398"/>
      <c r="D25" s="399" t="s">
        <v>4</v>
      </c>
      <c r="E25" s="399" t="s">
        <v>122</v>
      </c>
      <c r="F25" s="399" t="s">
        <v>244</v>
      </c>
    </row>
    <row r="26" spans="1:6" s="254" customFormat="1" ht="31.5" customHeight="1">
      <c r="A26" s="285" t="s">
        <v>1</v>
      </c>
      <c r="B26" s="285" t="s">
        <v>2</v>
      </c>
      <c r="C26" s="286" t="s">
        <v>3</v>
      </c>
      <c r="D26" s="399"/>
      <c r="E26" s="399"/>
      <c r="F26" s="399"/>
    </row>
    <row r="27" spans="1:6" s="252" customFormat="1" ht="15.75">
      <c r="A27" s="287">
        <v>1</v>
      </c>
      <c r="B27" s="287">
        <v>2</v>
      </c>
      <c r="C27" s="287">
        <v>3</v>
      </c>
      <c r="D27" s="287">
        <v>4</v>
      </c>
      <c r="E27" s="287">
        <v>5</v>
      </c>
      <c r="F27" s="287">
        <v>6</v>
      </c>
    </row>
    <row r="28" spans="1:6" ht="63" customHeight="1">
      <c r="A28" s="281" t="s">
        <v>145</v>
      </c>
      <c r="B28" s="281" t="s">
        <v>150</v>
      </c>
      <c r="C28" s="281" t="s">
        <v>295</v>
      </c>
      <c r="D28" s="282" t="s">
        <v>12</v>
      </c>
      <c r="E28" s="263">
        <v>7000</v>
      </c>
      <c r="F28" s="263">
        <v>7000</v>
      </c>
    </row>
    <row r="29" spans="1:6" ht="24.75" customHeight="1">
      <c r="A29" s="390" t="s">
        <v>258</v>
      </c>
      <c r="B29" s="391"/>
      <c r="C29" s="391"/>
      <c r="D29" s="392"/>
      <c r="E29" s="288">
        <f>SUM(E28:E28)</f>
        <v>7000</v>
      </c>
      <c r="F29" s="288">
        <f>SUM(F28:F28)</f>
        <v>7000</v>
      </c>
    </row>
    <row r="30" spans="1:6" ht="25.5" customHeight="1">
      <c r="A30" s="383"/>
      <c r="B30" s="383"/>
      <c r="C30" s="383"/>
      <c r="D30" s="383"/>
      <c r="E30" s="383"/>
      <c r="F30" s="383"/>
    </row>
    <row r="31" spans="1:6" ht="33.75" customHeight="1" hidden="1">
      <c r="A31" s="393" t="s">
        <v>296</v>
      </c>
      <c r="B31" s="393"/>
      <c r="C31" s="393"/>
      <c r="D31" s="393"/>
      <c r="E31" s="393"/>
      <c r="F31" s="393"/>
    </row>
    <row r="32" spans="1:6" ht="14.25" customHeight="1" hidden="1">
      <c r="A32" s="394"/>
      <c r="B32" s="394"/>
      <c r="C32" s="394"/>
      <c r="D32" s="394"/>
      <c r="E32" s="394"/>
      <c r="F32" s="395"/>
    </row>
    <row r="33" spans="1:6" ht="14.25" customHeight="1" hidden="1">
      <c r="A33" s="385" t="s">
        <v>271</v>
      </c>
      <c r="B33" s="386"/>
      <c r="C33" s="387"/>
      <c r="D33" s="388" t="s">
        <v>4</v>
      </c>
      <c r="E33" s="388" t="s">
        <v>122</v>
      </c>
      <c r="F33" s="389"/>
    </row>
    <row r="34" spans="1:6" s="254" customFormat="1" ht="31.5" customHeight="1" hidden="1">
      <c r="A34" s="278" t="s">
        <v>1</v>
      </c>
      <c r="B34" s="278" t="s">
        <v>2</v>
      </c>
      <c r="C34" s="279" t="s">
        <v>3</v>
      </c>
      <c r="D34" s="388"/>
      <c r="E34" s="388"/>
      <c r="F34" s="389"/>
    </row>
    <row r="35" spans="1:6" s="252" customFormat="1" ht="15.75" hidden="1">
      <c r="A35" s="280">
        <v>1</v>
      </c>
      <c r="B35" s="280">
        <v>2</v>
      </c>
      <c r="C35" s="280">
        <v>3</v>
      </c>
      <c r="D35" s="280">
        <v>4</v>
      </c>
      <c r="E35" s="280">
        <v>5</v>
      </c>
      <c r="F35" s="283"/>
    </row>
    <row r="36" spans="1:6" ht="19.5" customHeight="1" hidden="1">
      <c r="A36" s="261"/>
      <c r="B36" s="261"/>
      <c r="C36" s="261"/>
      <c r="D36" s="261"/>
      <c r="E36" s="261"/>
      <c r="F36" s="284"/>
    </row>
    <row r="37" spans="1:6" ht="19.5" customHeight="1" hidden="1">
      <c r="A37" s="261"/>
      <c r="B37" s="261"/>
      <c r="C37" s="261"/>
      <c r="D37" s="261"/>
      <c r="E37" s="261"/>
      <c r="F37" s="284"/>
    </row>
    <row r="38" spans="1:6" ht="19.5" customHeight="1" hidden="1">
      <c r="A38" s="261"/>
      <c r="B38" s="261"/>
      <c r="C38" s="261"/>
      <c r="D38" s="261"/>
      <c r="E38" s="261"/>
      <c r="F38" s="284"/>
    </row>
    <row r="39" spans="1:6" ht="15.75" hidden="1">
      <c r="A39" s="383"/>
      <c r="B39" s="383"/>
      <c r="C39" s="383"/>
      <c r="D39" s="383"/>
      <c r="E39" s="383"/>
      <c r="F39" s="384"/>
    </row>
    <row r="40" ht="15.75" hidden="1"/>
  </sheetData>
  <mergeCells count="23">
    <mergeCell ref="A6:F6"/>
    <mergeCell ref="A7:F7"/>
    <mergeCell ref="A8:C8"/>
    <mergeCell ref="D8:D9"/>
    <mergeCell ref="E8:E9"/>
    <mergeCell ref="F8:F9"/>
    <mergeCell ref="A21:D21"/>
    <mergeCell ref="A22:F22"/>
    <mergeCell ref="A23:F23"/>
    <mergeCell ref="A24:F24"/>
    <mergeCell ref="A25:C25"/>
    <mergeCell ref="D25:D26"/>
    <mergeCell ref="E25:E26"/>
    <mergeCell ref="F25:F26"/>
    <mergeCell ref="A29:D29"/>
    <mergeCell ref="A30:F30"/>
    <mergeCell ref="A31:F31"/>
    <mergeCell ref="A32:F32"/>
    <mergeCell ref="A39:F39"/>
    <mergeCell ref="A33:C33"/>
    <mergeCell ref="D33:D34"/>
    <mergeCell ref="E33:E34"/>
    <mergeCell ref="F33:F34"/>
  </mergeCells>
  <printOptions/>
  <pageMargins left="0.53" right="0.6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17" sqref="E17"/>
    </sheetView>
  </sheetViews>
  <sheetFormatPr defaultColWidth="9.140625" defaultRowHeight="12.75"/>
  <cols>
    <col min="1" max="1" width="8.421875" style="253" customWidth="1"/>
    <col min="2" max="2" width="9.28125" style="253" customWidth="1"/>
    <col min="3" max="3" width="7.00390625" style="253" customWidth="1"/>
    <col min="4" max="4" width="39.00390625" style="253" customWidth="1"/>
    <col min="5" max="6" width="13.8515625" style="253" customWidth="1"/>
    <col min="7" max="16384" width="9.140625" style="253" customWidth="1"/>
  </cols>
  <sheetData>
    <row r="1" spans="1:6" s="26" customFormat="1" ht="12.75">
      <c r="A1" s="35"/>
      <c r="B1" s="35"/>
      <c r="C1" s="36"/>
      <c r="D1" s="36"/>
      <c r="E1" s="37" t="s">
        <v>298</v>
      </c>
      <c r="F1" s="37"/>
    </row>
    <row r="2" spans="1:6" s="26" customFormat="1" ht="12.75">
      <c r="A2" s="35"/>
      <c r="B2" s="35"/>
      <c r="C2" s="39"/>
      <c r="D2" s="36"/>
      <c r="E2" s="269" t="s">
        <v>228</v>
      </c>
      <c r="F2" s="269"/>
    </row>
    <row r="3" spans="1:6" s="26" customFormat="1" ht="12.75">
      <c r="A3" s="35"/>
      <c r="B3" s="35"/>
      <c r="C3" s="39"/>
      <c r="D3" s="36"/>
      <c r="E3" s="269" t="s">
        <v>229</v>
      </c>
      <c r="F3" s="269"/>
    </row>
    <row r="4" spans="1:6" s="26" customFormat="1" ht="12.75">
      <c r="A4" s="35"/>
      <c r="B4" s="35"/>
      <c r="C4" s="39"/>
      <c r="D4" s="36"/>
      <c r="E4" s="269" t="s">
        <v>230</v>
      </c>
      <c r="F4" s="269"/>
    </row>
    <row r="5" spans="1:6" ht="20.25" customHeight="1">
      <c r="A5" s="404"/>
      <c r="B5" s="404"/>
      <c r="C5" s="404"/>
      <c r="D5" s="404"/>
      <c r="E5" s="404"/>
      <c r="F5" s="404"/>
    </row>
    <row r="6" spans="1:6" ht="30.75" customHeight="1">
      <c r="A6" s="403" t="s">
        <v>269</v>
      </c>
      <c r="B6" s="403"/>
      <c r="C6" s="403"/>
      <c r="D6" s="403"/>
      <c r="E6" s="403"/>
      <c r="F6" s="403"/>
    </row>
    <row r="7" spans="1:6" ht="20.25" customHeight="1">
      <c r="A7" s="408" t="s">
        <v>270</v>
      </c>
      <c r="B7" s="408"/>
      <c r="C7" s="408"/>
      <c r="D7" s="408"/>
      <c r="E7" s="408"/>
      <c r="F7" s="408"/>
    </row>
    <row r="8" spans="1:6" ht="30.75" customHeight="1">
      <c r="A8" s="409" t="s">
        <v>271</v>
      </c>
      <c r="B8" s="410"/>
      <c r="C8" s="411"/>
      <c r="D8" s="412" t="s">
        <v>272</v>
      </c>
      <c r="E8" s="412" t="s">
        <v>273</v>
      </c>
      <c r="F8" s="412" t="s">
        <v>244</v>
      </c>
    </row>
    <row r="9" spans="1:6" ht="14.25" customHeight="1">
      <c r="A9" s="266" t="s">
        <v>1</v>
      </c>
      <c r="B9" s="266" t="s">
        <v>2</v>
      </c>
      <c r="C9" s="267" t="s">
        <v>3</v>
      </c>
      <c r="D9" s="412"/>
      <c r="E9" s="412"/>
      <c r="F9" s="412"/>
    </row>
    <row r="10" spans="1:6" s="254" customFormat="1" ht="15" customHeight="1">
      <c r="A10" s="268">
        <v>1</v>
      </c>
      <c r="B10" s="268">
        <v>2</v>
      </c>
      <c r="C10" s="268">
        <v>3</v>
      </c>
      <c r="D10" s="268">
        <v>4</v>
      </c>
      <c r="E10" s="268">
        <v>5</v>
      </c>
      <c r="F10" s="268">
        <v>6</v>
      </c>
    </row>
    <row r="11" spans="1:6" s="252" customFormat="1" ht="46.5" customHeight="1">
      <c r="A11" s="255">
        <v>600</v>
      </c>
      <c r="B11" s="256">
        <v>60014</v>
      </c>
      <c r="C11" s="256">
        <v>6300</v>
      </c>
      <c r="D11" s="257" t="s">
        <v>274</v>
      </c>
      <c r="E11" s="258">
        <v>200000</v>
      </c>
      <c r="F11" s="259"/>
    </row>
    <row r="12" spans="1:6" ht="46.5" customHeight="1">
      <c r="A12" s="255">
        <v>754</v>
      </c>
      <c r="B12" s="256">
        <v>75405</v>
      </c>
      <c r="C12" s="260">
        <v>6170</v>
      </c>
      <c r="D12" s="257" t="s">
        <v>275</v>
      </c>
      <c r="E12" s="258">
        <v>10000</v>
      </c>
      <c r="F12" s="259"/>
    </row>
    <row r="13" spans="1:6" ht="46.5" customHeight="1">
      <c r="A13" s="255">
        <v>754</v>
      </c>
      <c r="B13" s="256">
        <v>75411</v>
      </c>
      <c r="C13" s="256">
        <v>2710</v>
      </c>
      <c r="D13" s="257" t="s">
        <v>276</v>
      </c>
      <c r="E13" s="258">
        <v>10000</v>
      </c>
      <c r="F13" s="259"/>
    </row>
    <row r="14" spans="1:6" ht="46.5" customHeight="1">
      <c r="A14" s="261">
        <v>852</v>
      </c>
      <c r="B14" s="261">
        <v>85201</v>
      </c>
      <c r="C14" s="261">
        <v>2320</v>
      </c>
      <c r="D14" s="262" t="s">
        <v>277</v>
      </c>
      <c r="E14" s="263">
        <v>481450</v>
      </c>
      <c r="F14" s="263">
        <v>78200</v>
      </c>
    </row>
    <row r="15" spans="1:6" ht="46.5" customHeight="1">
      <c r="A15" s="261">
        <v>852</v>
      </c>
      <c r="B15" s="261">
        <v>85204</v>
      </c>
      <c r="C15" s="261">
        <v>2320</v>
      </c>
      <c r="D15" s="264" t="s">
        <v>278</v>
      </c>
      <c r="E15" s="263">
        <v>81400</v>
      </c>
      <c r="F15" s="263">
        <v>47194</v>
      </c>
    </row>
    <row r="16" spans="1:6" ht="46.5" customHeight="1">
      <c r="A16" s="261">
        <v>853</v>
      </c>
      <c r="B16" s="261">
        <v>85311</v>
      </c>
      <c r="C16" s="261">
        <v>2710</v>
      </c>
      <c r="D16" s="264" t="s">
        <v>290</v>
      </c>
      <c r="E16" s="263">
        <v>72131</v>
      </c>
      <c r="F16" s="263"/>
    </row>
    <row r="17" spans="1:6" ht="46.5" customHeight="1">
      <c r="A17" s="261">
        <v>853</v>
      </c>
      <c r="B17" s="261">
        <v>85311</v>
      </c>
      <c r="C17" s="261">
        <v>2580</v>
      </c>
      <c r="D17" s="264" t="s">
        <v>290</v>
      </c>
      <c r="E17" s="263"/>
      <c r="F17" s="263">
        <v>72131</v>
      </c>
    </row>
    <row r="18" spans="1:6" ht="46.5" customHeight="1">
      <c r="A18" s="261">
        <v>854</v>
      </c>
      <c r="B18" s="261">
        <v>85406</v>
      </c>
      <c r="C18" s="261">
        <v>2320</v>
      </c>
      <c r="D18" s="264" t="s">
        <v>279</v>
      </c>
      <c r="E18" s="263"/>
      <c r="F18" s="263">
        <v>18000</v>
      </c>
    </row>
    <row r="19" spans="1:6" ht="46.5" customHeight="1">
      <c r="A19" s="261">
        <v>854</v>
      </c>
      <c r="B19" s="261">
        <v>85417</v>
      </c>
      <c r="C19" s="261">
        <v>2310</v>
      </c>
      <c r="D19" s="265" t="s">
        <v>280</v>
      </c>
      <c r="E19" s="263"/>
      <c r="F19" s="263">
        <v>2100</v>
      </c>
    </row>
    <row r="20" spans="1:6" ht="46.5" customHeight="1">
      <c r="A20" s="261">
        <v>921</v>
      </c>
      <c r="B20" s="261">
        <v>92116</v>
      </c>
      <c r="C20" s="261">
        <v>2310</v>
      </c>
      <c r="D20" s="264" t="s">
        <v>281</v>
      </c>
      <c r="E20" s="263"/>
      <c r="F20" s="263">
        <v>30000</v>
      </c>
    </row>
    <row r="21" spans="1:6" ht="42" customHeight="1">
      <c r="A21" s="405" t="s">
        <v>282</v>
      </c>
      <c r="B21" s="406"/>
      <c r="C21" s="406"/>
      <c r="D21" s="407"/>
      <c r="E21" s="273">
        <f>SUM(E11:E20)</f>
        <v>854981</v>
      </c>
      <c r="F21" s="273">
        <f>SUM(F14:F20)</f>
        <v>247625</v>
      </c>
    </row>
    <row r="22" ht="27" customHeight="1"/>
    <row r="23" ht="44.25" customHeight="1"/>
    <row r="24" ht="44.25" customHeight="1"/>
    <row r="25" spans="1:6" ht="44.25" customHeight="1">
      <c r="A25" s="254"/>
      <c r="B25" s="254"/>
      <c r="C25" s="254"/>
      <c r="D25" s="254"/>
      <c r="E25" s="254"/>
      <c r="F25" s="254"/>
    </row>
    <row r="26" spans="1:6" s="254" customFormat="1" ht="44.25" customHeight="1">
      <c r="A26" s="252"/>
      <c r="B26" s="252"/>
      <c r="C26" s="252"/>
      <c r="D26" s="252"/>
      <c r="E26" s="252"/>
      <c r="F26" s="252"/>
    </row>
    <row r="27" spans="1:6" s="252" customFormat="1" ht="15.75">
      <c r="A27" s="253"/>
      <c r="B27" s="253"/>
      <c r="C27" s="253"/>
      <c r="D27" s="253"/>
      <c r="E27" s="253"/>
      <c r="F27" s="253"/>
    </row>
    <row r="28" ht="19.5" customHeight="1"/>
    <row r="29" ht="19.5" customHeight="1"/>
    <row r="30" ht="19.5" customHeight="1"/>
    <row r="31" ht="25.5" customHeight="1"/>
    <row r="32" ht="33.75" customHeight="1"/>
    <row r="33" ht="14.25" customHeight="1"/>
    <row r="34" spans="1:6" ht="14.25" customHeight="1">
      <c r="A34" s="254"/>
      <c r="B34" s="254"/>
      <c r="C34" s="254"/>
      <c r="D34" s="254"/>
      <c r="E34" s="254"/>
      <c r="F34" s="254"/>
    </row>
    <row r="35" spans="1:6" s="254" customFormat="1" ht="31.5" customHeight="1">
      <c r="A35" s="252"/>
      <c r="B35" s="252"/>
      <c r="C35" s="252"/>
      <c r="D35" s="252"/>
      <c r="E35" s="252"/>
      <c r="F35" s="252"/>
    </row>
    <row r="36" spans="1:6" s="252" customFormat="1" ht="15.75">
      <c r="A36" s="253"/>
      <c r="B36" s="253"/>
      <c r="C36" s="253"/>
      <c r="D36" s="253"/>
      <c r="E36" s="253"/>
      <c r="F36" s="253"/>
    </row>
    <row r="37" ht="19.5" customHeight="1"/>
    <row r="38" ht="19.5" customHeight="1"/>
    <row r="39" ht="19.5" customHeight="1"/>
  </sheetData>
  <mergeCells count="8">
    <mergeCell ref="A5:F5"/>
    <mergeCell ref="A6:F6"/>
    <mergeCell ref="A21:D21"/>
    <mergeCell ref="A7:F7"/>
    <mergeCell ref="A8:C8"/>
    <mergeCell ref="D8:D9"/>
    <mergeCell ref="E8:E9"/>
    <mergeCell ref="F8:F9"/>
  </mergeCells>
  <printOptions/>
  <pageMargins left="0.69" right="0.5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7">
      <selection activeCell="E25" sqref="E25"/>
    </sheetView>
  </sheetViews>
  <sheetFormatPr defaultColWidth="9.140625" defaultRowHeight="12.75"/>
  <cols>
    <col min="1" max="1" width="3.8515625" style="0" customWidth="1"/>
    <col min="2" max="2" width="50.8515625" style="0" customWidth="1"/>
  </cols>
  <sheetData>
    <row r="1" spans="2:6" ht="15.75">
      <c r="B1" s="193"/>
      <c r="D1" s="194" t="s">
        <v>299</v>
      </c>
      <c r="E1" s="195"/>
      <c r="F1" s="195"/>
    </row>
    <row r="2" spans="2:6" ht="15.75">
      <c r="B2" s="193"/>
      <c r="D2" s="320" t="s">
        <v>228</v>
      </c>
      <c r="E2" s="320"/>
      <c r="F2" s="320"/>
    </row>
    <row r="3" spans="2:6" ht="15.75">
      <c r="B3" s="193"/>
      <c r="D3" s="320" t="s">
        <v>229</v>
      </c>
      <c r="E3" s="320"/>
      <c r="F3" s="320"/>
    </row>
    <row r="4" spans="2:6" ht="15.75">
      <c r="B4" s="193"/>
      <c r="D4" s="320" t="s">
        <v>230</v>
      </c>
      <c r="E4" s="320"/>
      <c r="F4" s="320"/>
    </row>
    <row r="6" spans="1:6" ht="45.75" customHeight="1">
      <c r="A6" s="413" t="s">
        <v>250</v>
      </c>
      <c r="B6" s="413"/>
      <c r="C6" s="413"/>
      <c r="D6" s="413"/>
      <c r="E6" s="413"/>
      <c r="F6" s="413"/>
    </row>
    <row r="7" spans="1:2" ht="12.75">
      <c r="A7" t="s">
        <v>252</v>
      </c>
      <c r="B7" s="4"/>
    </row>
    <row r="8" spans="1:2" ht="12.75">
      <c r="A8" t="s">
        <v>253</v>
      </c>
      <c r="B8" s="4"/>
    </row>
    <row r="9" spans="1:6" s="277" customFormat="1" ht="28.5" customHeight="1">
      <c r="A9" s="274" t="s">
        <v>233</v>
      </c>
      <c r="B9" s="275" t="s">
        <v>234</v>
      </c>
      <c r="C9" s="276" t="s">
        <v>235</v>
      </c>
      <c r="D9" s="276" t="s">
        <v>236</v>
      </c>
      <c r="E9" s="276" t="s">
        <v>237</v>
      </c>
      <c r="F9" s="276" t="s">
        <v>238</v>
      </c>
    </row>
    <row r="10" spans="1:6" s="199" customFormat="1" ht="17.25" customHeight="1">
      <c r="A10" s="196" t="s">
        <v>239</v>
      </c>
      <c r="B10" s="197" t="s">
        <v>240</v>
      </c>
      <c r="C10" s="198">
        <v>14000</v>
      </c>
      <c r="D10" s="198">
        <f>53314-14000</f>
        <v>39314</v>
      </c>
      <c r="E10" s="198"/>
      <c r="F10" s="198">
        <f aca="true" t="shared" si="0" ref="F10:F21">C10+D10-E10</f>
        <v>53314</v>
      </c>
    </row>
    <row r="11" spans="1:6" s="199" customFormat="1" ht="17.25" customHeight="1">
      <c r="A11" s="200" t="s">
        <v>241</v>
      </c>
      <c r="B11" s="201" t="s">
        <v>242</v>
      </c>
      <c r="C11" s="202">
        <f>SUM(C12:C13)</f>
        <v>165000</v>
      </c>
      <c r="D11" s="202">
        <f>SUM(D12:D13)</f>
        <v>34000</v>
      </c>
      <c r="E11" s="202">
        <f>SUM(E12:E13)</f>
        <v>0</v>
      </c>
      <c r="F11" s="198">
        <f t="shared" si="0"/>
        <v>199000</v>
      </c>
    </row>
    <row r="12" spans="1:6" ht="17.25" customHeight="1">
      <c r="A12" s="203">
        <v>1</v>
      </c>
      <c r="B12" s="204" t="s">
        <v>251</v>
      </c>
      <c r="C12" s="205">
        <v>165000</v>
      </c>
      <c r="D12" s="205">
        <v>5000</v>
      </c>
      <c r="E12" s="205"/>
      <c r="F12" s="206">
        <f t="shared" si="0"/>
        <v>170000</v>
      </c>
    </row>
    <row r="13" spans="1:6" ht="17.25" customHeight="1">
      <c r="A13" s="203">
        <v>2</v>
      </c>
      <c r="B13" s="204" t="s">
        <v>257</v>
      </c>
      <c r="C13" s="205"/>
      <c r="D13" s="205">
        <v>29000</v>
      </c>
      <c r="E13" s="205"/>
      <c r="F13" s="206">
        <f t="shared" si="0"/>
        <v>29000</v>
      </c>
    </row>
    <row r="14" spans="1:6" s="199" customFormat="1" ht="17.25" customHeight="1">
      <c r="A14" s="200" t="s">
        <v>243</v>
      </c>
      <c r="B14" s="201" t="s">
        <v>244</v>
      </c>
      <c r="C14" s="202">
        <f>C15+C20</f>
        <v>179000</v>
      </c>
      <c r="D14" s="202">
        <f>D15+D20</f>
        <v>160000</v>
      </c>
      <c r="E14" s="202">
        <f>E15+E20</f>
        <v>88800</v>
      </c>
      <c r="F14" s="198">
        <f t="shared" si="0"/>
        <v>250200</v>
      </c>
    </row>
    <row r="15" spans="1:6" ht="17.25" customHeight="1">
      <c r="A15" s="203">
        <v>1</v>
      </c>
      <c r="B15" s="207" t="s">
        <v>245</v>
      </c>
      <c r="C15" s="205">
        <f>SUM(C16:C19)</f>
        <v>169000</v>
      </c>
      <c r="D15" s="205">
        <f>SUM(D16:D19)</f>
        <v>160000</v>
      </c>
      <c r="E15" s="205">
        <f>SUM(E16:E19)</f>
        <v>88800</v>
      </c>
      <c r="F15" s="206">
        <f t="shared" si="0"/>
        <v>240200</v>
      </c>
    </row>
    <row r="16" spans="1:6" s="212" customFormat="1" ht="42.75" customHeight="1">
      <c r="A16" s="208"/>
      <c r="B16" s="209" t="s">
        <v>254</v>
      </c>
      <c r="C16" s="210"/>
      <c r="D16" s="210">
        <v>5800</v>
      </c>
      <c r="E16" s="210"/>
      <c r="F16" s="211">
        <f t="shared" si="0"/>
        <v>5800</v>
      </c>
    </row>
    <row r="17" spans="1:6" s="212" customFormat="1" ht="39" customHeight="1">
      <c r="A17" s="208"/>
      <c r="B17" s="209" t="s">
        <v>255</v>
      </c>
      <c r="C17" s="210"/>
      <c r="D17" s="210">
        <v>11000</v>
      </c>
      <c r="E17" s="210"/>
      <c r="F17" s="211">
        <f t="shared" si="0"/>
        <v>11000</v>
      </c>
    </row>
    <row r="18" spans="1:6" s="212" customFormat="1" ht="17.25" customHeight="1">
      <c r="A18" s="208"/>
      <c r="B18" s="209" t="s">
        <v>246</v>
      </c>
      <c r="C18" s="213">
        <v>169000</v>
      </c>
      <c r="D18" s="213">
        <v>40000</v>
      </c>
      <c r="E18" s="213">
        <f>1000+20800+17000+20000+30000</f>
        <v>88800</v>
      </c>
      <c r="F18" s="211">
        <f t="shared" si="0"/>
        <v>120200</v>
      </c>
    </row>
    <row r="19" spans="1:6" s="212" customFormat="1" ht="42" customHeight="1">
      <c r="A19" s="208"/>
      <c r="B19" s="209" t="s">
        <v>256</v>
      </c>
      <c r="C19" s="213"/>
      <c r="D19" s="213">
        <v>103200</v>
      </c>
      <c r="E19" s="213"/>
      <c r="F19" s="211">
        <f t="shared" si="0"/>
        <v>103200</v>
      </c>
    </row>
    <row r="20" spans="1:6" ht="17.25" customHeight="1">
      <c r="A20" s="203">
        <v>2</v>
      </c>
      <c r="B20" s="207" t="s">
        <v>114</v>
      </c>
      <c r="C20" s="214">
        <f>SUM(C21)</f>
        <v>10000</v>
      </c>
      <c r="D20" s="214">
        <f>SUM(D21)</f>
        <v>0</v>
      </c>
      <c r="E20" s="214">
        <f>SUM(E21)</f>
        <v>0</v>
      </c>
      <c r="F20" s="206">
        <f t="shared" si="0"/>
        <v>10000</v>
      </c>
    </row>
    <row r="21" spans="1:6" s="212" customFormat="1" ht="17.25" customHeight="1">
      <c r="A21" s="208"/>
      <c r="B21" s="209" t="s">
        <v>247</v>
      </c>
      <c r="C21" s="213">
        <v>10000</v>
      </c>
      <c r="D21" s="213"/>
      <c r="E21" s="213"/>
      <c r="F21" s="211">
        <f t="shared" si="0"/>
        <v>10000</v>
      </c>
    </row>
    <row r="22" spans="1:6" s="199" customFormat="1" ht="17.25" customHeight="1">
      <c r="A22" s="200" t="s">
        <v>248</v>
      </c>
      <c r="B22" s="201" t="s">
        <v>249</v>
      </c>
      <c r="C22" s="202">
        <v>0</v>
      </c>
      <c r="D22" s="202">
        <v>2114</v>
      </c>
      <c r="E22" s="202"/>
      <c r="F22" s="202">
        <f>F10+F11-F14</f>
        <v>2114</v>
      </c>
    </row>
    <row r="23" ht="12.75">
      <c r="F23" s="6"/>
    </row>
  </sheetData>
  <mergeCells count="4">
    <mergeCell ref="D2:F2"/>
    <mergeCell ref="D3:F3"/>
    <mergeCell ref="D4:F4"/>
    <mergeCell ref="A6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0">
      <selection activeCell="N20" sqref="N20"/>
    </sheetView>
  </sheetViews>
  <sheetFormatPr defaultColWidth="9.140625" defaultRowHeight="12.75"/>
  <cols>
    <col min="1" max="1" width="3.7109375" style="293" customWidth="1"/>
    <col min="2" max="2" width="5.00390625" style="293" customWidth="1"/>
    <col min="3" max="3" width="7.8515625" style="293" customWidth="1"/>
    <col min="4" max="4" width="5.28125" style="293" customWidth="1"/>
    <col min="5" max="5" width="37.7109375" style="305" customWidth="1"/>
    <col min="6" max="9" width="9.57421875" style="294" customWidth="1"/>
    <col min="10" max="16384" width="9.140625" style="26" customWidth="1"/>
  </cols>
  <sheetData>
    <row r="1" spans="5:9" ht="12.75">
      <c r="E1" s="26"/>
      <c r="G1" s="320" t="s">
        <v>316</v>
      </c>
      <c r="H1" s="320"/>
      <c r="I1" s="320"/>
    </row>
    <row r="2" spans="2:9" ht="15.75">
      <c r="B2" s="193"/>
      <c r="G2" s="320" t="s">
        <v>228</v>
      </c>
      <c r="H2" s="320"/>
      <c r="I2" s="320"/>
    </row>
    <row r="3" spans="2:9" ht="15.75">
      <c r="B3" s="193"/>
      <c r="G3" s="320" t="s">
        <v>229</v>
      </c>
      <c r="H3" s="320"/>
      <c r="I3" s="320"/>
    </row>
    <row r="4" spans="2:9" ht="15.75">
      <c r="B4" s="193"/>
      <c r="G4" s="320" t="s">
        <v>230</v>
      </c>
      <c r="H4" s="320"/>
      <c r="I4" s="320"/>
    </row>
    <row r="5" spans="1:9" ht="12.75">
      <c r="A5" s="295"/>
      <c r="B5" s="106"/>
      <c r="C5" s="106"/>
      <c r="D5" s="106"/>
      <c r="E5" s="296"/>
      <c r="F5" s="26"/>
      <c r="G5" s="26"/>
      <c r="H5" s="106"/>
      <c r="I5" s="106"/>
    </row>
    <row r="6" spans="1:9" ht="12.75">
      <c r="A6" s="295"/>
      <c r="B6" s="106"/>
      <c r="C6" s="106"/>
      <c r="D6" s="106"/>
      <c r="E6" s="106"/>
      <c r="F6" s="106"/>
      <c r="G6" s="106"/>
      <c r="H6" s="106"/>
      <c r="I6" s="106"/>
    </row>
    <row r="7" spans="1:9" ht="18">
      <c r="A7" s="414" t="s">
        <v>302</v>
      </c>
      <c r="B7" s="414"/>
      <c r="C7" s="414"/>
      <c r="D7" s="414"/>
      <c r="E7" s="414"/>
      <c r="F7" s="414"/>
      <c r="G7" s="414"/>
      <c r="H7" s="414"/>
      <c r="I7" s="414"/>
    </row>
    <row r="8" spans="1:9" ht="15.75">
      <c r="A8" s="297"/>
      <c r="B8" s="106"/>
      <c r="C8" s="106"/>
      <c r="D8" s="106"/>
      <c r="E8" s="106"/>
      <c r="F8" s="106"/>
      <c r="G8" s="106"/>
      <c r="H8" s="106"/>
      <c r="I8" s="106"/>
    </row>
    <row r="9" spans="1:9" ht="15.75">
      <c r="A9" s="297"/>
      <c r="B9" s="106"/>
      <c r="C9" s="106"/>
      <c r="D9" s="106"/>
      <c r="E9" s="106"/>
      <c r="F9" s="106"/>
      <c r="G9" s="106"/>
      <c r="H9" s="106"/>
      <c r="I9" s="106"/>
    </row>
    <row r="10" spans="1:9" ht="30" customHeight="1">
      <c r="A10" s="306" t="s">
        <v>233</v>
      </c>
      <c r="B10" s="306" t="s">
        <v>303</v>
      </c>
      <c r="C10" s="306" t="s">
        <v>304</v>
      </c>
      <c r="D10" s="306" t="s">
        <v>3</v>
      </c>
      <c r="E10" s="307" t="s">
        <v>305</v>
      </c>
      <c r="F10" s="308" t="s">
        <v>235</v>
      </c>
      <c r="G10" s="308" t="s">
        <v>265</v>
      </c>
      <c r="H10" s="308" t="s">
        <v>300</v>
      </c>
      <c r="I10" s="308" t="s">
        <v>306</v>
      </c>
    </row>
    <row r="11" spans="1:9" ht="30" customHeight="1">
      <c r="A11" s="298">
        <v>1</v>
      </c>
      <c r="B11" s="298">
        <v>600</v>
      </c>
      <c r="C11" s="298">
        <v>60014</v>
      </c>
      <c r="D11" s="298">
        <v>6050</v>
      </c>
      <c r="E11" s="299" t="s">
        <v>307</v>
      </c>
      <c r="F11" s="300">
        <v>1100000</v>
      </c>
      <c r="G11" s="300"/>
      <c r="H11" s="300"/>
      <c r="I11" s="300">
        <f>F11+G11-H11</f>
        <v>1100000</v>
      </c>
    </row>
    <row r="12" spans="1:9" ht="30" customHeight="1">
      <c r="A12" s="298">
        <v>2</v>
      </c>
      <c r="B12" s="298">
        <v>600</v>
      </c>
      <c r="C12" s="298">
        <v>60014</v>
      </c>
      <c r="D12" s="298">
        <v>6050</v>
      </c>
      <c r="E12" s="299" t="s">
        <v>308</v>
      </c>
      <c r="F12" s="300">
        <v>400000</v>
      </c>
      <c r="G12" s="300"/>
      <c r="H12" s="300"/>
      <c r="I12" s="300">
        <f aca="true" t="shared" si="0" ref="I12:I20">F12+G12-H12</f>
        <v>400000</v>
      </c>
    </row>
    <row r="13" spans="1:9" ht="30" customHeight="1">
      <c r="A13" s="298">
        <v>3</v>
      </c>
      <c r="B13" s="298">
        <v>600</v>
      </c>
      <c r="C13" s="298">
        <v>60014</v>
      </c>
      <c r="D13" s="298">
        <v>6050</v>
      </c>
      <c r="E13" s="299" t="s">
        <v>309</v>
      </c>
      <c r="F13" s="300">
        <v>250000</v>
      </c>
      <c r="G13" s="300"/>
      <c r="H13" s="300"/>
      <c r="I13" s="300">
        <f t="shared" si="0"/>
        <v>250000</v>
      </c>
    </row>
    <row r="14" spans="1:9" ht="30" customHeight="1">
      <c r="A14" s="298">
        <v>4</v>
      </c>
      <c r="B14" s="298">
        <v>600</v>
      </c>
      <c r="C14" s="298">
        <v>60014</v>
      </c>
      <c r="D14" s="298">
        <v>6050</v>
      </c>
      <c r="E14" s="299" t="s">
        <v>310</v>
      </c>
      <c r="F14" s="300">
        <v>150000</v>
      </c>
      <c r="G14" s="300"/>
      <c r="H14" s="300"/>
      <c r="I14" s="300">
        <f t="shared" si="0"/>
        <v>150000</v>
      </c>
    </row>
    <row r="15" spans="1:9" ht="30" customHeight="1">
      <c r="A15" s="298">
        <v>5</v>
      </c>
      <c r="B15" s="298">
        <v>600</v>
      </c>
      <c r="C15" s="298">
        <v>60014</v>
      </c>
      <c r="D15" s="298">
        <v>6050</v>
      </c>
      <c r="E15" s="299" t="s">
        <v>311</v>
      </c>
      <c r="F15" s="300">
        <v>200000</v>
      </c>
      <c r="G15" s="300"/>
      <c r="H15" s="300"/>
      <c r="I15" s="300">
        <f t="shared" si="0"/>
        <v>200000</v>
      </c>
    </row>
    <row r="16" spans="1:9" ht="30" customHeight="1">
      <c r="A16" s="298">
        <v>6</v>
      </c>
      <c r="B16" s="298">
        <v>600</v>
      </c>
      <c r="C16" s="298">
        <v>60014</v>
      </c>
      <c r="D16" s="298">
        <v>6050</v>
      </c>
      <c r="E16" s="299" t="s">
        <v>312</v>
      </c>
      <c r="F16" s="300">
        <v>50000</v>
      </c>
      <c r="G16" s="300"/>
      <c r="H16" s="300"/>
      <c r="I16" s="300">
        <f t="shared" si="0"/>
        <v>50000</v>
      </c>
    </row>
    <row r="17" spans="1:9" ht="40.5" customHeight="1">
      <c r="A17" s="298">
        <v>7</v>
      </c>
      <c r="B17" s="298">
        <v>710</v>
      </c>
      <c r="C17" s="298">
        <v>71015</v>
      </c>
      <c r="D17" s="298">
        <v>6060</v>
      </c>
      <c r="E17" s="299" t="s">
        <v>317</v>
      </c>
      <c r="F17" s="300"/>
      <c r="G17" s="300">
        <v>42000</v>
      </c>
      <c r="H17" s="300"/>
      <c r="I17" s="300">
        <f t="shared" si="0"/>
        <v>42000</v>
      </c>
    </row>
    <row r="18" spans="1:9" ht="31.5" customHeight="1">
      <c r="A18" s="298">
        <v>8</v>
      </c>
      <c r="B18" s="298">
        <v>750</v>
      </c>
      <c r="C18" s="298">
        <v>75020</v>
      </c>
      <c r="D18" s="298">
        <v>6060</v>
      </c>
      <c r="E18" s="301" t="s">
        <v>313</v>
      </c>
      <c r="F18" s="302">
        <v>40000</v>
      </c>
      <c r="G18" s="302"/>
      <c r="H18" s="302"/>
      <c r="I18" s="300">
        <f t="shared" si="0"/>
        <v>40000</v>
      </c>
    </row>
    <row r="19" spans="1:9" ht="31.5" customHeight="1">
      <c r="A19" s="298">
        <v>9</v>
      </c>
      <c r="B19" s="298">
        <v>750</v>
      </c>
      <c r="C19" s="298">
        <v>75020</v>
      </c>
      <c r="D19" s="298">
        <v>6060</v>
      </c>
      <c r="E19" s="301" t="s">
        <v>314</v>
      </c>
      <c r="F19" s="302">
        <v>44000</v>
      </c>
      <c r="G19" s="302"/>
      <c r="H19" s="302"/>
      <c r="I19" s="300">
        <f t="shared" si="0"/>
        <v>44000</v>
      </c>
    </row>
    <row r="20" spans="1:9" ht="63" customHeight="1" thickBot="1">
      <c r="A20" s="298">
        <v>10</v>
      </c>
      <c r="B20" s="298">
        <v>754</v>
      </c>
      <c r="C20" s="298">
        <v>75411</v>
      </c>
      <c r="D20" s="298">
        <v>6050</v>
      </c>
      <c r="E20" s="299" t="s">
        <v>315</v>
      </c>
      <c r="F20" s="302">
        <v>80000</v>
      </c>
      <c r="G20" s="303"/>
      <c r="H20" s="303"/>
      <c r="I20" s="300">
        <f t="shared" si="0"/>
        <v>80000</v>
      </c>
    </row>
    <row r="21" spans="1:9" s="304" customFormat="1" ht="24.75" customHeight="1">
      <c r="A21" s="415" t="s">
        <v>258</v>
      </c>
      <c r="B21" s="416"/>
      <c r="C21" s="416"/>
      <c r="D21" s="416"/>
      <c r="E21" s="417"/>
      <c r="F21" s="309">
        <f>SUM(F11:F20)</f>
        <v>2314000</v>
      </c>
      <c r="G21" s="310">
        <f>SUM(G11:G20)</f>
        <v>42000</v>
      </c>
      <c r="H21" s="310">
        <f>SUM(H18:H20)</f>
        <v>0</v>
      </c>
      <c r="I21" s="310">
        <f>SUM(I11:I20)</f>
        <v>2356000</v>
      </c>
    </row>
  </sheetData>
  <mergeCells count="6">
    <mergeCell ref="G1:I1"/>
    <mergeCell ref="A7:I7"/>
    <mergeCell ref="A21:E21"/>
    <mergeCell ref="G2:I2"/>
    <mergeCell ref="G3:I3"/>
    <mergeCell ref="G4:I4"/>
  </mergeCells>
  <printOptions/>
  <pageMargins left="0.4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Marek Dereszkiewicz</cp:lastModifiedBy>
  <cp:lastPrinted>2007-03-14T12:03:48Z</cp:lastPrinted>
  <dcterms:created xsi:type="dcterms:W3CDTF">2007-01-12T11:10:09Z</dcterms:created>
  <dcterms:modified xsi:type="dcterms:W3CDTF">2007-04-04T08:57:10Z</dcterms:modified>
  <cp:category/>
  <cp:version/>
  <cp:contentType/>
  <cp:contentStatus/>
</cp:coreProperties>
</file>